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1RECENT topics (2015-2021)\HTML\"/>
    </mc:Choice>
  </mc:AlternateContent>
  <xr:revisionPtr revIDLastSave="0" documentId="13_ncr:1_{E539C01A-2538-4F56-A085-1221C25C36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Δεδομένα" sheetId="1" r:id="rId1"/>
    <sheet name=".." sheetId="2" state="hidden" r:id="rId2"/>
    <sheet name="..." sheetId="5" state="hidden" r:id="rId3"/>
  </sheets>
  <definedNames>
    <definedName name="Γ._Ν._Μαυρογιαννόπουλος">Δεδομένα!$B$48</definedName>
    <definedName name="Καλλιέργεια">Δεδομένα!$N$10</definedName>
    <definedName name="ΚαλλιέργειαHDR">'...'!$AG$62:$AG$70</definedName>
    <definedName name="Τομάτα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AE8" i="2"/>
  <c r="AD8" i="2"/>
  <c r="AC8" i="2"/>
  <c r="AB8" i="2"/>
  <c r="Z8" i="2"/>
  <c r="Y8" i="2"/>
  <c r="X8" i="2"/>
  <c r="L8" i="2"/>
  <c r="K8" i="2"/>
  <c r="J8" i="2"/>
  <c r="I8" i="2"/>
  <c r="G8" i="2"/>
  <c r="F8" i="2"/>
  <c r="E8" i="2"/>
  <c r="N7" i="1"/>
  <c r="P19" i="1"/>
  <c r="C22" i="1" s="1"/>
  <c r="P8" i="1" l="1"/>
  <c r="P7" i="1" s="1"/>
  <c r="G4" i="2" s="1"/>
  <c r="AG14" i="2"/>
  <c r="AF14" i="2"/>
  <c r="AE14" i="2"/>
  <c r="AD14" i="2"/>
  <c r="AC14" i="2"/>
  <c r="AB14" i="2"/>
  <c r="Z14" i="2"/>
  <c r="Y14" i="2"/>
  <c r="X14" i="2"/>
  <c r="C5" i="1" l="1"/>
  <c r="N14" i="2"/>
  <c r="M14" i="2"/>
  <c r="L14" i="2"/>
  <c r="K14" i="2"/>
  <c r="J14" i="2"/>
  <c r="I14" i="2"/>
  <c r="I26" i="2" s="1"/>
  <c r="G14" i="2"/>
  <c r="G26" i="2" s="1"/>
  <c r="F14" i="2"/>
  <c r="F26" i="2" s="1"/>
  <c r="E14" i="2"/>
  <c r="I13" i="1" l="1"/>
  <c r="B55" i="1" l="1"/>
  <c r="B48" i="1" l="1"/>
  <c r="B51" i="1" l="1"/>
  <c r="B50" i="1"/>
  <c r="B54" i="1" l="1"/>
  <c r="B53" i="1"/>
  <c r="B49" i="1" l="1"/>
  <c r="B31" i="1"/>
  <c r="B32" i="1"/>
  <c r="B30" i="1"/>
  <c r="Z72" i="5"/>
  <c r="R56" i="5" l="1"/>
  <c r="Q56" i="5"/>
  <c r="R55" i="5"/>
  <c r="Q55" i="5"/>
  <c r="R54" i="5"/>
  <c r="Q54" i="5"/>
  <c r="R53" i="5"/>
  <c r="Q53" i="5"/>
  <c r="R50" i="5"/>
  <c r="Q50" i="5"/>
  <c r="R49" i="5"/>
  <c r="Q49" i="5"/>
  <c r="R48" i="5"/>
  <c r="Q48" i="5"/>
  <c r="R47" i="5"/>
  <c r="Q47" i="5"/>
  <c r="R44" i="5"/>
  <c r="Q44" i="5"/>
  <c r="R43" i="5"/>
  <c r="Q43" i="5"/>
  <c r="R42" i="5"/>
  <c r="Q42" i="5"/>
  <c r="R41" i="5"/>
  <c r="Q41" i="5"/>
  <c r="R38" i="5"/>
  <c r="Q38" i="5"/>
  <c r="R37" i="5"/>
  <c r="Q37" i="5"/>
  <c r="R36" i="5"/>
  <c r="Q36" i="5"/>
  <c r="R35" i="5"/>
  <c r="Q35" i="5"/>
  <c r="R32" i="5"/>
  <c r="Q32" i="5"/>
  <c r="R31" i="5"/>
  <c r="Q31" i="5"/>
  <c r="R30" i="5"/>
  <c r="Q30" i="5"/>
  <c r="R29" i="5"/>
  <c r="Q29" i="5"/>
  <c r="R26" i="5"/>
  <c r="Q26" i="5"/>
  <c r="R25" i="5"/>
  <c r="Q25" i="5"/>
  <c r="R24" i="5"/>
  <c r="Q24" i="5"/>
  <c r="R23" i="5"/>
  <c r="Q23" i="5"/>
  <c r="R20" i="5"/>
  <c r="Q20" i="5"/>
  <c r="R19" i="5"/>
  <c r="Q19" i="5"/>
  <c r="R18" i="5"/>
  <c r="Q18" i="5"/>
  <c r="R17" i="5"/>
  <c r="Q17" i="5"/>
  <c r="R14" i="5"/>
  <c r="Q14" i="5"/>
  <c r="R13" i="5"/>
  <c r="Q13" i="5"/>
  <c r="R12" i="5"/>
  <c r="Q12" i="5"/>
  <c r="R11" i="5"/>
  <c r="Q11" i="5"/>
  <c r="Q6" i="5"/>
  <c r="Q7" i="5"/>
  <c r="Q8" i="5"/>
  <c r="R6" i="5"/>
  <c r="R7" i="5"/>
  <c r="R8" i="5"/>
  <c r="R5" i="5"/>
  <c r="Q5" i="5"/>
  <c r="AG26" i="2" l="1"/>
  <c r="AF26" i="2"/>
  <c r="AE26" i="2"/>
  <c r="AD26" i="2"/>
  <c r="AC26" i="2"/>
  <c r="AB26" i="2"/>
  <c r="Y26" i="2"/>
  <c r="X26" i="2"/>
  <c r="N26" i="2"/>
  <c r="M26" i="2"/>
  <c r="K26" i="2"/>
  <c r="L26" i="2"/>
  <c r="J26" i="2"/>
  <c r="E26" i="2"/>
  <c r="AH14" i="2"/>
  <c r="Z26" i="2"/>
  <c r="C3" i="2" l="1"/>
  <c r="E9" i="2" s="1"/>
  <c r="T43" i="2"/>
  <c r="T39" i="2"/>
  <c r="AM43" i="2"/>
  <c r="AM39" i="2"/>
  <c r="AC20" i="2" l="1"/>
  <c r="AB20" i="2"/>
  <c r="AA20" i="2"/>
  <c r="Z20" i="2"/>
  <c r="Y20" i="2"/>
  <c r="X20" i="2"/>
  <c r="J20" i="2"/>
  <c r="I20" i="2"/>
  <c r="H20" i="2"/>
  <c r="G20" i="2"/>
  <c r="F20" i="2"/>
  <c r="E20" i="2"/>
  <c r="AH15" i="2"/>
  <c r="AG15" i="2"/>
  <c r="AG32" i="2" s="1"/>
  <c r="AG44" i="2" s="1"/>
  <c r="AF15" i="2"/>
  <c r="AE15" i="2"/>
  <c r="AE32" i="2" s="1"/>
  <c r="AD15" i="2"/>
  <c r="AD32" i="2" s="1"/>
  <c r="AC15" i="2"/>
  <c r="AC32" i="2" s="1"/>
  <c r="AB15" i="2"/>
  <c r="AB32" i="2" s="1"/>
  <c r="Z15" i="2"/>
  <c r="Y15" i="2"/>
  <c r="X15" i="2"/>
  <c r="O15" i="2"/>
  <c r="N15" i="2"/>
  <c r="M15" i="2"/>
  <c r="L15" i="2"/>
  <c r="K15" i="2"/>
  <c r="J15" i="2"/>
  <c r="I15" i="2"/>
  <c r="G15" i="2"/>
  <c r="F15" i="2"/>
  <c r="E15" i="2"/>
  <c r="Y72" i="5"/>
  <c r="X72" i="5"/>
  <c r="W72" i="5"/>
  <c r="V72" i="5"/>
  <c r="U72" i="5"/>
  <c r="Z71" i="5"/>
  <c r="Y71" i="5"/>
  <c r="X71" i="5"/>
  <c r="W71" i="5"/>
  <c r="V71" i="5"/>
  <c r="U71" i="5"/>
  <c r="Z70" i="5"/>
  <c r="Y70" i="5"/>
  <c r="X70" i="5"/>
  <c r="W70" i="5"/>
  <c r="V70" i="5"/>
  <c r="U70" i="5"/>
  <c r="W68" i="5"/>
  <c r="Z69" i="5"/>
  <c r="Y69" i="5"/>
  <c r="X69" i="5"/>
  <c r="W69" i="5"/>
  <c r="V69" i="5"/>
  <c r="U69" i="5"/>
  <c r="Y68" i="5"/>
  <c r="Z68" i="5"/>
  <c r="X68" i="5"/>
  <c r="V68" i="5"/>
  <c r="U68" i="5"/>
  <c r="Z67" i="5"/>
  <c r="Y67" i="5"/>
  <c r="X67" i="5"/>
  <c r="W67" i="5"/>
  <c r="V67" i="5"/>
  <c r="U67" i="5"/>
  <c r="Z66" i="5"/>
  <c r="Y66" i="5"/>
  <c r="X66" i="5"/>
  <c r="V66" i="5"/>
  <c r="U66" i="5"/>
  <c r="Z65" i="5"/>
  <c r="Y65" i="5"/>
  <c r="X65" i="5"/>
  <c r="V65" i="5"/>
  <c r="U65" i="5"/>
  <c r="W66" i="5"/>
  <c r="W65" i="5"/>
  <c r="Z64" i="5"/>
  <c r="Y64" i="5"/>
  <c r="X64" i="5"/>
  <c r="W64" i="5"/>
  <c r="V64" i="5"/>
  <c r="U64" i="5"/>
  <c r="I72" i="5"/>
  <c r="H72" i="5"/>
  <c r="G72" i="5"/>
  <c r="F72" i="5"/>
  <c r="E72" i="5"/>
  <c r="D72" i="5"/>
  <c r="I71" i="5"/>
  <c r="H71" i="5"/>
  <c r="G71" i="5"/>
  <c r="F71" i="5"/>
  <c r="E71" i="5"/>
  <c r="D71" i="5"/>
  <c r="I70" i="5"/>
  <c r="H70" i="5"/>
  <c r="G70" i="5"/>
  <c r="F70" i="5"/>
  <c r="E70" i="5"/>
  <c r="D70" i="5"/>
  <c r="I69" i="5"/>
  <c r="H69" i="5"/>
  <c r="G69" i="5"/>
  <c r="F69" i="5"/>
  <c r="E69" i="5"/>
  <c r="D69" i="5"/>
  <c r="I68" i="5"/>
  <c r="H68" i="5"/>
  <c r="G68" i="5"/>
  <c r="F68" i="5"/>
  <c r="E68" i="5"/>
  <c r="D68" i="5"/>
  <c r="I67" i="5"/>
  <c r="H67" i="5"/>
  <c r="G67" i="5"/>
  <c r="F67" i="5"/>
  <c r="E67" i="5"/>
  <c r="D67" i="5"/>
  <c r="I66" i="5"/>
  <c r="H66" i="5"/>
  <c r="G66" i="5"/>
  <c r="F66" i="5"/>
  <c r="E66" i="5"/>
  <c r="D66" i="5"/>
  <c r="I65" i="5"/>
  <c r="H65" i="5"/>
  <c r="G65" i="5"/>
  <c r="F65" i="5"/>
  <c r="E65" i="5"/>
  <c r="D65" i="5"/>
  <c r="I64" i="5"/>
  <c r="H64" i="5"/>
  <c r="G64" i="5"/>
  <c r="F64" i="5"/>
  <c r="E64" i="5"/>
  <c r="D64" i="5"/>
  <c r="C4" i="2"/>
  <c r="AH36" i="5"/>
  <c r="AI36" i="5"/>
  <c r="AH37" i="5"/>
  <c r="AI37" i="5"/>
  <c r="AH38" i="5"/>
  <c r="AI38" i="5"/>
  <c r="AI35" i="5"/>
  <c r="AH35" i="5"/>
  <c r="AI23" i="5"/>
  <c r="AH23" i="5"/>
  <c r="AI24" i="5"/>
  <c r="AH24" i="5"/>
  <c r="AI17" i="5"/>
  <c r="AH17" i="5"/>
  <c r="AI18" i="5"/>
  <c r="AH18" i="5"/>
  <c r="AI11" i="5"/>
  <c r="AH11" i="5"/>
  <c r="AI12" i="5"/>
  <c r="AH12" i="5"/>
  <c r="AI5" i="5"/>
  <c r="AH5" i="5"/>
  <c r="AI6" i="5"/>
  <c r="AH6" i="5"/>
  <c r="Y25" i="2" l="1"/>
  <c r="AD25" i="2"/>
  <c r="X25" i="2"/>
  <c r="AG25" i="2"/>
  <c r="Z25" i="2"/>
  <c r="AE25" i="2"/>
  <c r="AC25" i="2"/>
  <c r="AB25" i="2"/>
  <c r="AF25" i="2"/>
  <c r="N25" i="2"/>
  <c r="M25" i="2"/>
  <c r="I25" i="2"/>
  <c r="F25" i="2"/>
  <c r="L25" i="2"/>
  <c r="K25" i="2"/>
  <c r="G25" i="2"/>
  <c r="E25" i="2"/>
  <c r="J25" i="2"/>
  <c r="AF32" i="2"/>
  <c r="AE12" i="2"/>
  <c r="I10" i="2"/>
  <c r="J12" i="2"/>
  <c r="E12" i="2"/>
  <c r="I11" i="2"/>
  <c r="L10" i="2"/>
  <c r="G10" i="2"/>
  <c r="K9" i="2"/>
  <c r="F9" i="2"/>
  <c r="I12" i="2"/>
  <c r="L11" i="2"/>
  <c r="G11" i="2"/>
  <c r="K10" i="2"/>
  <c r="F10" i="2"/>
  <c r="J9" i="2"/>
  <c r="L12" i="2"/>
  <c r="G12" i="2"/>
  <c r="K11" i="2"/>
  <c r="F11" i="2"/>
  <c r="J10" i="2"/>
  <c r="E10" i="2"/>
  <c r="I9" i="2"/>
  <c r="K12" i="2"/>
  <c r="F12" i="2"/>
  <c r="J11" i="2"/>
  <c r="E11" i="2"/>
  <c r="L9" i="2"/>
  <c r="G9" i="2"/>
  <c r="E19" i="2"/>
  <c r="D50" i="2" s="1"/>
  <c r="I19" i="2"/>
  <c r="Z19" i="2"/>
  <c r="W52" i="2" s="1"/>
  <c r="Y52" i="2" s="1"/>
  <c r="Z52" i="2" s="1"/>
  <c r="X9" i="2"/>
  <c r="AC9" i="2"/>
  <c r="Y10" i="2"/>
  <c r="AD10" i="2"/>
  <c r="Z11" i="2"/>
  <c r="AE11" i="2"/>
  <c r="AB12" i="2"/>
  <c r="F19" i="2"/>
  <c r="J19" i="2"/>
  <c r="AA19" i="2"/>
  <c r="W53" i="2" s="1"/>
  <c r="Y9" i="2"/>
  <c r="AD9" i="2"/>
  <c r="Z10" i="2"/>
  <c r="AE10" i="2"/>
  <c r="AB11" i="2"/>
  <c r="X12" i="2"/>
  <c r="AC12" i="2"/>
  <c r="G19" i="2"/>
  <c r="X19" i="2"/>
  <c r="AB19" i="2"/>
  <c r="W54" i="2" s="1"/>
  <c r="Y54" i="2" s="1"/>
  <c r="Z54" i="2" s="1"/>
  <c r="Z9" i="2"/>
  <c r="AE9" i="2"/>
  <c r="AB10" i="2"/>
  <c r="X11" i="2"/>
  <c r="AC11" i="2"/>
  <c r="Y12" i="2"/>
  <c r="AD12" i="2"/>
  <c r="H19" i="2"/>
  <c r="Y19" i="2"/>
  <c r="W51" i="2" s="1"/>
  <c r="Y51" i="2" s="1"/>
  <c r="Z51" i="2" s="1"/>
  <c r="AC19" i="2"/>
  <c r="W55" i="2" s="1"/>
  <c r="Y55" i="2" s="1"/>
  <c r="Z55" i="2" s="1"/>
  <c r="AB9" i="2"/>
  <c r="X10" i="2"/>
  <c r="AC10" i="2"/>
  <c r="Y11" i="2"/>
  <c r="AD11" i="2"/>
  <c r="Z12" i="2"/>
  <c r="AA32" i="2"/>
  <c r="AA33" i="2" s="1"/>
  <c r="Z32" i="2"/>
  <c r="Y32" i="2"/>
  <c r="X32" i="2"/>
  <c r="AA27" i="2"/>
  <c r="AH48" i="5"/>
  <c r="AI48" i="5"/>
  <c r="AH49" i="5"/>
  <c r="AI49" i="5"/>
  <c r="AH50" i="5"/>
  <c r="AI50" i="5"/>
  <c r="AI47" i="5"/>
  <c r="AH47" i="5"/>
  <c r="Y53" i="2" l="1"/>
  <c r="Z53" i="2" s="1"/>
  <c r="W50" i="2"/>
  <c r="Y50" i="2" s="1"/>
  <c r="Z50" i="2" s="1"/>
  <c r="M13" i="1"/>
  <c r="AF27" i="2"/>
  <c r="AF41" i="2" s="1"/>
  <c r="AF44" i="2" s="1"/>
  <c r="AG27" i="2"/>
  <c r="AI10" i="2"/>
  <c r="AI11" i="2"/>
  <c r="P9" i="2"/>
  <c r="AI12" i="2"/>
  <c r="AJ9" i="2"/>
  <c r="AJ10" i="2"/>
  <c r="AJ11" i="2"/>
  <c r="AJ12" i="2"/>
  <c r="AI9" i="2"/>
  <c r="Q9" i="2"/>
  <c r="P10" i="2"/>
  <c r="Q12" i="2"/>
  <c r="P12" i="2"/>
  <c r="Q10" i="2"/>
  <c r="P11" i="2"/>
  <c r="Q11" i="2"/>
  <c r="AH32" i="2"/>
  <c r="AI32" i="2"/>
  <c r="AA29" i="2"/>
  <c r="AH26" i="2"/>
  <c r="AI26" i="2"/>
  <c r="AH54" i="5"/>
  <c r="AI54" i="5"/>
  <c r="AH55" i="5"/>
  <c r="AI55" i="5"/>
  <c r="AH56" i="5"/>
  <c r="AI56" i="5"/>
  <c r="AI53" i="5"/>
  <c r="AH53" i="5"/>
  <c r="AH42" i="5"/>
  <c r="AI42" i="5"/>
  <c r="AH43" i="5"/>
  <c r="AI43" i="5"/>
  <c r="AH44" i="5"/>
  <c r="AI44" i="5"/>
  <c r="AI41" i="5"/>
  <c r="AH41" i="5"/>
  <c r="AH30" i="5"/>
  <c r="AI30" i="5"/>
  <c r="AH31" i="5"/>
  <c r="AI31" i="5"/>
  <c r="AI29" i="5"/>
  <c r="AH29" i="5"/>
  <c r="AH25" i="5"/>
  <c r="AI25" i="5"/>
  <c r="AH26" i="5"/>
  <c r="AI26" i="5"/>
  <c r="AH19" i="5"/>
  <c r="AI19" i="5"/>
  <c r="AH20" i="5"/>
  <c r="AI20" i="5"/>
  <c r="AH13" i="5"/>
  <c r="AI13" i="5"/>
  <c r="AH14" i="5"/>
  <c r="AI14" i="5"/>
  <c r="AH7" i="5"/>
  <c r="AI7" i="5"/>
  <c r="AH8" i="5"/>
  <c r="AI8" i="5"/>
  <c r="G13" i="1" l="1"/>
  <c r="J13" i="1"/>
  <c r="F13" i="1"/>
  <c r="H13" i="1"/>
  <c r="L13" i="1"/>
  <c r="K13" i="1"/>
  <c r="AE27" i="2"/>
  <c r="Y27" i="2"/>
  <c r="Y29" i="2" s="1"/>
  <c r="Y31" i="2" s="1"/>
  <c r="Y33" i="2" s="1"/>
  <c r="Y39" i="2" s="1"/>
  <c r="Y40" i="2" s="1"/>
  <c r="W40" i="2" s="1"/>
  <c r="AC40" i="2" s="1"/>
  <c r="AB27" i="2"/>
  <c r="AB29" i="2" s="1"/>
  <c r="AB31" i="2" s="1"/>
  <c r="AB33" i="2" s="1"/>
  <c r="AD27" i="2"/>
  <c r="Z27" i="2"/>
  <c r="I27" i="2"/>
  <c r="AC41" i="2"/>
  <c r="W41" i="2" s="1"/>
  <c r="AL41" i="2" s="1"/>
  <c r="AI25" i="2"/>
  <c r="AC28" i="2" s="1"/>
  <c r="AH25" i="2"/>
  <c r="Z28" i="2" s="1"/>
  <c r="AC27" i="2"/>
  <c r="X27" i="2"/>
  <c r="AA31" i="2"/>
  <c r="AI27" i="2" l="1"/>
  <c r="AH27" i="2"/>
  <c r="AE28" i="2"/>
  <c r="X28" i="2"/>
  <c r="AD28" i="2"/>
  <c r="AL40" i="2"/>
  <c r="Y44" i="2"/>
  <c r="AA39" i="2"/>
  <c r="AA43" i="2" s="1"/>
  <c r="X43" i="2" s="1"/>
  <c r="W39" i="2"/>
  <c r="AN39" i="2" s="1"/>
  <c r="AL39" i="2" l="1"/>
  <c r="H27" i="2" l="1"/>
  <c r="H32" i="2" l="1"/>
  <c r="H33" i="2" s="1"/>
  <c r="N32" i="2"/>
  <c r="N44" i="2" s="1"/>
  <c r="M32" i="2"/>
  <c r="L32" i="2"/>
  <c r="K32" i="2"/>
  <c r="J32" i="2"/>
  <c r="I32" i="2"/>
  <c r="G32" i="2"/>
  <c r="F32" i="2"/>
  <c r="E32" i="2"/>
  <c r="C5" i="2"/>
  <c r="W30" i="2" l="1"/>
  <c r="D30" i="2"/>
  <c r="D54" i="2"/>
  <c r="F54" i="2" s="1"/>
  <c r="G54" i="2" s="1"/>
  <c r="M39" i="1" s="1"/>
  <c r="F27" i="2"/>
  <c r="P32" i="2"/>
  <c r="O32" i="2"/>
  <c r="D51" i="2"/>
  <c r="F51" i="2" s="1"/>
  <c r="G51" i="2" s="1"/>
  <c r="M36" i="1" s="1"/>
  <c r="G27" i="2"/>
  <c r="D53" i="2"/>
  <c r="D55" i="2"/>
  <c r="F55" i="2" s="1"/>
  <c r="G55" i="2" s="1"/>
  <c r="M40" i="1" s="1"/>
  <c r="D52" i="2"/>
  <c r="F52" i="2" s="1"/>
  <c r="G52" i="2" s="1"/>
  <c r="M37" i="1" s="1"/>
  <c r="J27" i="2"/>
  <c r="F50" i="2"/>
  <c r="G50" i="2" s="1"/>
  <c r="M35" i="1" s="1"/>
  <c r="F53" i="2" l="1"/>
  <c r="G53" i="2" s="1"/>
  <c r="M38" i="1" s="1"/>
  <c r="O26" i="2"/>
  <c r="P26" i="2"/>
  <c r="F29" i="2"/>
  <c r="H29" i="2"/>
  <c r="K27" i="2"/>
  <c r="L27" i="2"/>
  <c r="M27" i="2"/>
  <c r="N27" i="2"/>
  <c r="M41" i="2" l="1"/>
  <c r="M44" i="2" s="1"/>
  <c r="F31" i="2"/>
  <c r="F33" i="2" s="1"/>
  <c r="F39" i="2" s="1"/>
  <c r="H39" i="2" s="1"/>
  <c r="H43" i="2" s="1"/>
  <c r="E43" i="2" s="1"/>
  <c r="D43" i="2" s="1"/>
  <c r="O25" i="2"/>
  <c r="E13" i="1" s="1"/>
  <c r="E27" i="2"/>
  <c r="O27" i="2" s="1"/>
  <c r="P25" i="2"/>
  <c r="J28" i="2" s="1"/>
  <c r="I29" i="2"/>
  <c r="H31" i="2"/>
  <c r="E28" i="2" l="1"/>
  <c r="E29" i="2" s="1"/>
  <c r="J41" i="2"/>
  <c r="D41" i="2" s="1"/>
  <c r="S41" i="2" s="1"/>
  <c r="D41" i="1" s="1"/>
  <c r="I31" i="2"/>
  <c r="I33" i="2" s="1"/>
  <c r="G28" i="2"/>
  <c r="G29" i="2" s="1"/>
  <c r="Z29" i="2"/>
  <c r="X29" i="2"/>
  <c r="J29" i="2"/>
  <c r="AC29" i="2"/>
  <c r="AE29" i="2"/>
  <c r="AD29" i="2"/>
  <c r="L28" i="2"/>
  <c r="L29" i="2" s="1"/>
  <c r="K28" i="2"/>
  <c r="K29" i="2" s="1"/>
  <c r="P27" i="2"/>
  <c r="D39" i="2"/>
  <c r="U39" i="2" s="1"/>
  <c r="G39" i="1" s="1"/>
  <c r="F40" i="2"/>
  <c r="D40" i="2" s="1"/>
  <c r="S40" i="2" s="1"/>
  <c r="D40" i="1" s="1"/>
  <c r="AH29" i="2" l="1"/>
  <c r="X30" i="2" s="1"/>
  <c r="AI29" i="2"/>
  <c r="AC30" i="2" s="1"/>
  <c r="O29" i="2"/>
  <c r="P29" i="2"/>
  <c r="S39" i="2"/>
  <c r="D39" i="1" s="1"/>
  <c r="J40" i="2"/>
  <c r="F44" i="2"/>
  <c r="G24" i="1" s="1"/>
  <c r="Z30" i="2" l="1"/>
  <c r="Z31" i="2" s="1"/>
  <c r="Z33" i="2" s="1"/>
  <c r="X31" i="2"/>
  <c r="AE30" i="2"/>
  <c r="AE31" i="2" s="1"/>
  <c r="AE33" i="2" s="1"/>
  <c r="AD30" i="2"/>
  <c r="AD31" i="2" s="1"/>
  <c r="AD33" i="2" s="1"/>
  <c r="AD34" i="2" s="1"/>
  <c r="AC31" i="2"/>
  <c r="E30" i="2"/>
  <c r="E31" i="2" s="1"/>
  <c r="E33" i="2" s="1"/>
  <c r="G30" i="2"/>
  <c r="G31" i="2" s="1"/>
  <c r="G33" i="2" s="1"/>
  <c r="J30" i="2"/>
  <c r="J31" i="2" s="1"/>
  <c r="J33" i="2" s="1"/>
  <c r="K30" i="2"/>
  <c r="K31" i="2" s="1"/>
  <c r="K33" i="2" s="1"/>
  <c r="L30" i="2"/>
  <c r="L31" i="2" s="1"/>
  <c r="L33" i="2" s="1"/>
  <c r="P33" i="2" l="1"/>
  <c r="AH31" i="2"/>
  <c r="O31" i="2"/>
  <c r="X33" i="2"/>
  <c r="AC33" i="2"/>
  <c r="AI33" i="2" s="1"/>
  <c r="AI31" i="2"/>
  <c r="AD44" i="2"/>
  <c r="W34" i="2"/>
  <c r="AL34" i="2" s="1"/>
  <c r="AE35" i="2"/>
  <c r="AE36" i="2" s="1"/>
  <c r="L35" i="2"/>
  <c r="D35" i="2" s="1"/>
  <c r="S35" i="2" s="1"/>
  <c r="P31" i="2"/>
  <c r="O33" i="2"/>
  <c r="K34" i="2"/>
  <c r="AH33" i="2" l="1"/>
  <c r="X36" i="2"/>
  <c r="W36" i="2"/>
  <c r="AL36" i="2" s="1"/>
  <c r="AB34" i="2"/>
  <c r="AB38" i="2" s="1"/>
  <c r="X34" i="2"/>
  <c r="Z35" i="2"/>
  <c r="W35" i="2"/>
  <c r="AL35" i="2" s="1"/>
  <c r="D35" i="1" s="1"/>
  <c r="AE44" i="2"/>
  <c r="AE45" i="2" s="1"/>
  <c r="L36" i="2"/>
  <c r="G35" i="2"/>
  <c r="G37" i="2" s="1"/>
  <c r="D37" i="2" s="1"/>
  <c r="S37" i="2" s="1"/>
  <c r="D34" i="2"/>
  <c r="S34" i="2" s="1"/>
  <c r="D34" i="1" s="1"/>
  <c r="K44" i="2"/>
  <c r="L24" i="1" l="1"/>
  <c r="L44" i="2"/>
  <c r="M24" i="1" s="1"/>
  <c r="D36" i="2"/>
  <c r="S36" i="2" s="1"/>
  <c r="D36" i="1" s="1"/>
  <c r="Z37" i="2"/>
  <c r="AB44" i="2"/>
  <c r="G44" i="2"/>
  <c r="J37" i="2"/>
  <c r="J42" i="2" s="1"/>
  <c r="J44" i="2" s="1"/>
  <c r="I45" i="2" s="1"/>
  <c r="E36" i="2"/>
  <c r="E34" i="2"/>
  <c r="I34" i="2"/>
  <c r="I38" i="2" s="1"/>
  <c r="L45" i="2" l="1"/>
  <c r="M25" i="1" s="1"/>
  <c r="AC37" i="2"/>
  <c r="W37" i="2"/>
  <c r="AL37" i="2" s="1"/>
  <c r="D37" i="1" s="1"/>
  <c r="X38" i="2"/>
  <c r="W38" i="2"/>
  <c r="AL38" i="2" s="1"/>
  <c r="Z44" i="2"/>
  <c r="H24" i="1" s="1"/>
  <c r="I44" i="2"/>
  <c r="J24" i="1" s="1"/>
  <c r="E38" i="2"/>
  <c r="D38" i="2"/>
  <c r="S38" i="2" s="1"/>
  <c r="E42" i="2"/>
  <c r="D42" i="2"/>
  <c r="S42" i="2" s="1"/>
  <c r="E44" i="2" l="1"/>
  <c r="F45" i="2" s="1"/>
  <c r="P45" i="2"/>
  <c r="H44" i="2"/>
  <c r="P44" i="2"/>
  <c r="D38" i="1"/>
  <c r="AC42" i="2"/>
  <c r="X42" i="2" l="1"/>
  <c r="X44" i="2" s="1"/>
  <c r="W42" i="2"/>
  <c r="AL42" i="2" s="1"/>
  <c r="D42" i="1" s="1"/>
  <c r="AC44" i="2"/>
  <c r="U43" i="2"/>
  <c r="K24" i="1" l="1"/>
  <c r="AB45" i="2"/>
  <c r="J25" i="1" s="1"/>
  <c r="F24" i="1"/>
  <c r="Y45" i="2"/>
  <c r="G25" i="1" s="1"/>
  <c r="AI45" i="2"/>
  <c r="O45" i="2"/>
  <c r="AH45" i="2"/>
  <c r="AA44" i="2"/>
  <c r="I24" i="1" s="1"/>
  <c r="AI44" i="2"/>
  <c r="O44" i="2"/>
  <c r="S43" i="2"/>
  <c r="E24" i="1" l="1"/>
  <c r="W43" i="2"/>
  <c r="AN43" i="2" s="1"/>
  <c r="G43" i="1" s="1"/>
  <c r="AH44" i="2"/>
  <c r="AL43" i="2" l="1"/>
  <c r="D43" i="1" s="1"/>
</calcChain>
</file>

<file path=xl/sharedStrings.xml><?xml version="1.0" encoding="utf-8"?>
<sst xmlns="http://schemas.openxmlformats.org/spreadsheetml/2006/main" count="197" uniqueCount="120">
  <si>
    <r>
      <t>MgSO</t>
    </r>
    <r>
      <rPr>
        <b/>
        <sz val="10"/>
        <rFont val="Times New Roman"/>
        <family val="1"/>
        <charset val="161"/>
      </rPr>
      <t>4</t>
    </r>
    <r>
      <rPr>
        <b/>
        <sz val="16"/>
        <rFont val="Times New Roman"/>
        <family val="1"/>
        <charset val="161"/>
      </rPr>
      <t xml:space="preserve"> </t>
    </r>
  </si>
  <si>
    <r>
      <t>K</t>
    </r>
    <r>
      <rPr>
        <b/>
        <sz val="10"/>
        <rFont val="Times New Roman"/>
        <family val="1"/>
        <charset val="161"/>
      </rPr>
      <t>2</t>
    </r>
    <r>
      <rPr>
        <b/>
        <sz val="16"/>
        <rFont val="Times New Roman"/>
        <family val="1"/>
        <charset val="161"/>
      </rPr>
      <t>SO</t>
    </r>
    <r>
      <rPr>
        <b/>
        <sz val="10"/>
        <rFont val="Times New Roman"/>
        <family val="1"/>
        <charset val="161"/>
      </rPr>
      <t>4</t>
    </r>
    <r>
      <rPr>
        <b/>
        <sz val="16"/>
        <rFont val="Times New Roman"/>
        <family val="1"/>
        <charset val="161"/>
      </rPr>
      <t xml:space="preserve"> </t>
    </r>
  </si>
  <si>
    <r>
      <t>NH</t>
    </r>
    <r>
      <rPr>
        <b/>
        <sz val="10"/>
        <rFont val="Times New Roman"/>
        <family val="1"/>
        <charset val="161"/>
      </rPr>
      <t>4</t>
    </r>
    <r>
      <rPr>
        <b/>
        <sz val="16"/>
        <rFont val="Times New Roman"/>
        <family val="1"/>
        <charset val="161"/>
      </rPr>
      <t>NO</t>
    </r>
    <r>
      <rPr>
        <b/>
        <sz val="10"/>
        <rFont val="Times New Roman"/>
        <family val="1"/>
        <charset val="161"/>
      </rPr>
      <t>3</t>
    </r>
    <r>
      <rPr>
        <b/>
        <sz val="16"/>
        <rFont val="Times New Roman"/>
        <family val="1"/>
        <charset val="161"/>
      </rPr>
      <t xml:space="preserve"> </t>
    </r>
  </si>
  <si>
    <r>
      <t>H</t>
    </r>
    <r>
      <rPr>
        <b/>
        <sz val="10"/>
        <rFont val="Times New Roman"/>
        <family val="1"/>
        <charset val="161"/>
      </rPr>
      <t>3</t>
    </r>
    <r>
      <rPr>
        <b/>
        <sz val="16"/>
        <rFont val="Times New Roman"/>
        <family val="1"/>
        <charset val="161"/>
      </rPr>
      <t>PO</t>
    </r>
    <r>
      <rPr>
        <b/>
        <sz val="10"/>
        <rFont val="Times New Roman"/>
        <family val="1"/>
        <charset val="161"/>
      </rPr>
      <t>4</t>
    </r>
    <r>
      <rPr>
        <b/>
        <sz val="16"/>
        <rFont val="Times New Roman"/>
        <family val="1"/>
        <charset val="161"/>
      </rPr>
      <t xml:space="preserve"> </t>
    </r>
  </si>
  <si>
    <r>
      <t>KH</t>
    </r>
    <r>
      <rPr>
        <b/>
        <vertAlign val="subscript"/>
        <sz val="16"/>
        <rFont val="Times New Roman"/>
        <family val="1"/>
        <charset val="161"/>
      </rPr>
      <t>2</t>
    </r>
    <r>
      <rPr>
        <b/>
        <sz val="16"/>
        <rFont val="Times New Roman"/>
        <family val="1"/>
        <charset val="161"/>
      </rPr>
      <t>PO</t>
    </r>
    <r>
      <rPr>
        <b/>
        <vertAlign val="subscript"/>
        <sz val="16"/>
        <rFont val="Times New Roman"/>
        <family val="1"/>
        <charset val="161"/>
      </rPr>
      <t>4</t>
    </r>
  </si>
  <si>
    <t>KCl</t>
  </si>
  <si>
    <r>
      <t>KNO</t>
    </r>
    <r>
      <rPr>
        <b/>
        <sz val="10"/>
        <rFont val="Times New Roman"/>
        <family val="1"/>
        <charset val="161"/>
      </rPr>
      <t>3</t>
    </r>
    <r>
      <rPr>
        <b/>
        <sz val="16"/>
        <rFont val="Times New Roman"/>
        <family val="1"/>
        <charset val="161"/>
      </rPr>
      <t xml:space="preserve"> </t>
    </r>
  </si>
  <si>
    <r>
      <t>HNO</t>
    </r>
    <r>
      <rPr>
        <b/>
        <sz val="10"/>
        <rFont val="Times New Roman"/>
        <family val="1"/>
        <charset val="161"/>
      </rPr>
      <t>3</t>
    </r>
    <r>
      <rPr>
        <b/>
        <sz val="16"/>
        <rFont val="Times New Roman"/>
        <family val="1"/>
        <charset val="161"/>
      </rPr>
      <t xml:space="preserve"> </t>
    </r>
  </si>
  <si>
    <t>mmol</t>
  </si>
  <si>
    <r>
      <t>5[Ca(NO</t>
    </r>
    <r>
      <rPr>
        <b/>
        <vertAlign val="subscript"/>
        <sz val="12"/>
        <rFont val="Times New Roman"/>
        <family val="1"/>
        <charset val="161"/>
      </rPr>
      <t>3</t>
    </r>
    <r>
      <rPr>
        <b/>
        <sz val="12"/>
        <rFont val="Times New Roman"/>
        <family val="1"/>
        <charset val="161"/>
      </rPr>
      <t>)</t>
    </r>
    <r>
      <rPr>
        <b/>
        <vertAlign val="subscript"/>
        <sz val="12"/>
        <rFont val="Times New Roman"/>
        <family val="1"/>
        <charset val="161"/>
      </rPr>
      <t>2</t>
    </r>
    <r>
      <rPr>
        <b/>
        <sz val="12"/>
        <rFont val="Times New Roman"/>
        <family val="1"/>
        <charset val="161"/>
      </rPr>
      <t>.2H</t>
    </r>
    <r>
      <rPr>
        <b/>
        <vertAlign val="subscript"/>
        <sz val="12"/>
        <rFont val="Times New Roman"/>
        <family val="1"/>
        <charset val="161"/>
      </rPr>
      <t>2</t>
    </r>
    <r>
      <rPr>
        <b/>
        <sz val="12"/>
        <rFont val="Times New Roman"/>
        <family val="1"/>
        <charset val="161"/>
      </rPr>
      <t>O]NH</t>
    </r>
    <r>
      <rPr>
        <b/>
        <vertAlign val="subscript"/>
        <sz val="12"/>
        <rFont val="Times New Roman"/>
        <family val="1"/>
        <charset val="161"/>
      </rPr>
      <t>4</t>
    </r>
    <r>
      <rPr>
        <b/>
        <sz val="12"/>
        <rFont val="Times New Roman"/>
        <family val="1"/>
        <charset val="161"/>
      </rPr>
      <t>NO</t>
    </r>
    <r>
      <rPr>
        <b/>
        <vertAlign val="subscript"/>
        <sz val="12"/>
        <rFont val="Times New Roman"/>
        <family val="1"/>
        <charset val="161"/>
      </rPr>
      <t>3</t>
    </r>
    <r>
      <rPr>
        <b/>
        <sz val="12"/>
        <rFont val="Times New Roman"/>
        <family val="1"/>
        <charset val="161"/>
      </rPr>
      <t xml:space="preserve"> </t>
    </r>
  </si>
  <si>
    <r>
      <t>Mg(NO</t>
    </r>
    <r>
      <rPr>
        <b/>
        <vertAlign val="subscript"/>
        <sz val="16"/>
        <rFont val="Times New Roman"/>
        <family val="1"/>
        <charset val="161"/>
      </rPr>
      <t>3</t>
    </r>
    <r>
      <rPr>
        <b/>
        <sz val="16"/>
        <rFont val="Times New Roman"/>
        <family val="1"/>
        <charset val="161"/>
      </rPr>
      <t>)</t>
    </r>
    <r>
      <rPr>
        <b/>
        <vertAlign val="subscript"/>
        <sz val="16"/>
        <rFont val="Times New Roman"/>
        <family val="1"/>
        <charset val="161"/>
      </rPr>
      <t>2</t>
    </r>
    <r>
      <rPr>
        <b/>
        <sz val="16"/>
        <rFont val="Times New Roman"/>
        <family val="1"/>
        <charset val="161"/>
      </rPr>
      <t xml:space="preserve"> </t>
    </r>
  </si>
  <si>
    <r>
      <t>mmol L</t>
    </r>
    <r>
      <rPr>
        <b/>
        <vertAlign val="superscript"/>
        <sz val="12"/>
        <rFont val="Arial"/>
        <family val="2"/>
        <charset val="161"/>
      </rPr>
      <t>-1</t>
    </r>
  </si>
  <si>
    <t>Τομάτα</t>
  </si>
  <si>
    <t>Fe</t>
  </si>
  <si>
    <t>Mn</t>
  </si>
  <si>
    <t>Zn</t>
  </si>
  <si>
    <t>B</t>
  </si>
  <si>
    <t>Cu</t>
  </si>
  <si>
    <t>Mo</t>
  </si>
  <si>
    <t>ΑΠΟΤΕΛΕΣΜΑΤΑ</t>
  </si>
  <si>
    <t>ΜΑΚΡΟΣΤΟΙΧΕΙΑ</t>
  </si>
  <si>
    <t>Λίπασμα</t>
  </si>
  <si>
    <t>ΙΧΝΟΣΤΟΙΧΕΙΑ</t>
  </si>
  <si>
    <t>-</t>
  </si>
  <si>
    <t>Fe-Χηλ.13%</t>
  </si>
  <si>
    <t>Θειϊκός Zn</t>
  </si>
  <si>
    <t>Βόρακας</t>
  </si>
  <si>
    <t>Θειϊκός Cu</t>
  </si>
  <si>
    <r>
      <t>H2PO4</t>
    </r>
    <r>
      <rPr>
        <b/>
        <vertAlign val="superscript"/>
        <sz val="16"/>
        <rFont val="Arial"/>
        <family val="2"/>
        <charset val="161"/>
      </rPr>
      <t xml:space="preserve">- </t>
    </r>
  </si>
  <si>
    <r>
      <t>SO4</t>
    </r>
    <r>
      <rPr>
        <b/>
        <vertAlign val="superscript"/>
        <sz val="16"/>
        <rFont val="Arial"/>
        <family val="2"/>
        <charset val="161"/>
      </rPr>
      <t xml:space="preserve">-- </t>
    </r>
  </si>
  <si>
    <r>
      <t>HCO3</t>
    </r>
    <r>
      <rPr>
        <b/>
        <vertAlign val="superscript"/>
        <sz val="16"/>
        <rFont val="Arial"/>
        <family val="2"/>
        <charset val="161"/>
      </rPr>
      <t>-</t>
    </r>
  </si>
  <si>
    <r>
      <t>NH4</t>
    </r>
    <r>
      <rPr>
        <b/>
        <vertAlign val="superscript"/>
        <sz val="16"/>
        <rFont val="Arial"/>
        <family val="2"/>
        <charset val="161"/>
      </rPr>
      <t>+</t>
    </r>
    <r>
      <rPr>
        <b/>
        <sz val="16"/>
        <rFont val="Arial"/>
        <family val="2"/>
        <charset val="161"/>
      </rPr>
      <t xml:space="preserve"> </t>
    </r>
  </si>
  <si>
    <r>
      <t>K</t>
    </r>
    <r>
      <rPr>
        <b/>
        <vertAlign val="superscript"/>
        <sz val="16"/>
        <rFont val="Arial"/>
        <family val="2"/>
        <charset val="161"/>
      </rPr>
      <t>+</t>
    </r>
  </si>
  <si>
    <r>
      <t>Ca</t>
    </r>
    <r>
      <rPr>
        <b/>
        <vertAlign val="superscript"/>
        <sz val="16"/>
        <rFont val="Arial"/>
        <family val="2"/>
        <charset val="161"/>
      </rPr>
      <t>++</t>
    </r>
    <r>
      <rPr>
        <b/>
        <sz val="16"/>
        <rFont val="Arial"/>
        <family val="2"/>
        <charset val="161"/>
      </rPr>
      <t xml:space="preserve"> </t>
    </r>
  </si>
  <si>
    <r>
      <t>Mg</t>
    </r>
    <r>
      <rPr>
        <b/>
        <vertAlign val="superscript"/>
        <sz val="16"/>
        <rFont val="Arial"/>
        <family val="2"/>
        <charset val="161"/>
      </rPr>
      <t xml:space="preserve">++ </t>
    </r>
  </si>
  <si>
    <r>
      <t>Cl</t>
    </r>
    <r>
      <rPr>
        <b/>
        <vertAlign val="superscript"/>
        <sz val="16"/>
        <rFont val="Arial"/>
        <family val="2"/>
        <charset val="161"/>
      </rPr>
      <t>-</t>
    </r>
  </si>
  <si>
    <r>
      <t>Na</t>
    </r>
    <r>
      <rPr>
        <b/>
        <vertAlign val="superscript"/>
        <sz val="16"/>
        <rFont val="Arial"/>
        <family val="2"/>
        <charset val="161"/>
      </rPr>
      <t>+</t>
    </r>
  </si>
  <si>
    <t>μmol/lt</t>
  </si>
  <si>
    <t xml:space="preserve">ΜΒ </t>
  </si>
  <si>
    <t>ppm</t>
  </si>
  <si>
    <t>Θειϊκό Μn</t>
  </si>
  <si>
    <t>Βόρακας B</t>
  </si>
  <si>
    <t xml:space="preserve">Aγγούρι </t>
  </si>
  <si>
    <t>Μελιτζάνα</t>
  </si>
  <si>
    <t>Πιπεριά</t>
  </si>
  <si>
    <t>Μαρούλι</t>
  </si>
  <si>
    <t>Τριανταφυλλιά</t>
  </si>
  <si>
    <t>Ζέρμπερα</t>
  </si>
  <si>
    <t>Χρυσάνθεμο</t>
  </si>
  <si>
    <t>pH</t>
  </si>
  <si>
    <t>Θειϊκό Zn</t>
  </si>
  <si>
    <t xml:space="preserve">MgSO4 </t>
  </si>
  <si>
    <t xml:space="preserve">MgNO3 </t>
  </si>
  <si>
    <t xml:space="preserve">K2SO4 </t>
  </si>
  <si>
    <t xml:space="preserve">NH4NO3 </t>
  </si>
  <si>
    <t xml:space="preserve">H3PO4 </t>
  </si>
  <si>
    <t>KH2PO4</t>
  </si>
  <si>
    <t xml:space="preserve">KNO3 </t>
  </si>
  <si>
    <t xml:space="preserve">HNO3 </t>
  </si>
  <si>
    <t>Κλειστός</t>
  </si>
  <si>
    <r>
      <rPr>
        <b/>
        <sz val="18"/>
        <color theme="1"/>
        <rFont val="Arial"/>
        <family val="2"/>
        <charset val="161"/>
      </rPr>
      <t>kg/m</t>
    </r>
    <r>
      <rPr>
        <b/>
        <vertAlign val="superscript"/>
        <sz val="18"/>
        <color theme="1"/>
        <rFont val="Arial"/>
        <family val="2"/>
        <charset val="161"/>
      </rPr>
      <t>3</t>
    </r>
    <r>
      <rPr>
        <sz val="18"/>
        <color theme="1"/>
        <rFont val="Arial"/>
        <family val="2"/>
        <charset val="161"/>
      </rPr>
      <t>, για 100 φορές πυκνότερο διάλυμα</t>
    </r>
  </si>
  <si>
    <r>
      <t>Ca(NO</t>
    </r>
    <r>
      <rPr>
        <b/>
        <vertAlign val="subscript"/>
        <sz val="18"/>
        <rFont val="Arial"/>
        <family val="2"/>
        <charset val="161"/>
      </rPr>
      <t>3</t>
    </r>
    <r>
      <rPr>
        <b/>
        <sz val="18"/>
        <rFont val="Arial"/>
        <family val="2"/>
        <charset val="161"/>
      </rPr>
      <t>)</t>
    </r>
    <r>
      <rPr>
        <b/>
        <vertAlign val="subscript"/>
        <sz val="18"/>
        <rFont val="Arial"/>
        <family val="2"/>
        <charset val="161"/>
      </rPr>
      <t>2</t>
    </r>
    <r>
      <rPr>
        <b/>
        <sz val="18"/>
        <rFont val="Arial"/>
        <family val="2"/>
        <charset val="161"/>
      </rPr>
      <t xml:space="preserve"> </t>
    </r>
  </si>
  <si>
    <r>
      <t>MgSO</t>
    </r>
    <r>
      <rPr>
        <b/>
        <vertAlign val="subscript"/>
        <sz val="18"/>
        <rFont val="Arial"/>
        <family val="2"/>
        <charset val="161"/>
      </rPr>
      <t>4</t>
    </r>
    <r>
      <rPr>
        <b/>
        <sz val="18"/>
        <rFont val="Arial"/>
        <family val="2"/>
        <charset val="161"/>
      </rPr>
      <t xml:space="preserve"> </t>
    </r>
  </si>
  <si>
    <r>
      <t>MgNO</t>
    </r>
    <r>
      <rPr>
        <b/>
        <vertAlign val="subscript"/>
        <sz val="18"/>
        <rFont val="Arial"/>
        <family val="2"/>
        <charset val="161"/>
      </rPr>
      <t>3</t>
    </r>
    <r>
      <rPr>
        <b/>
        <sz val="18"/>
        <rFont val="Arial"/>
        <family val="2"/>
        <charset val="161"/>
      </rPr>
      <t xml:space="preserve"> </t>
    </r>
  </si>
  <si>
    <r>
      <t>K</t>
    </r>
    <r>
      <rPr>
        <b/>
        <vertAlign val="subscript"/>
        <sz val="18"/>
        <rFont val="Arial"/>
        <family val="2"/>
        <charset val="161"/>
      </rPr>
      <t>2</t>
    </r>
    <r>
      <rPr>
        <b/>
        <sz val="18"/>
        <rFont val="Arial"/>
        <family val="2"/>
        <charset val="161"/>
      </rPr>
      <t>SO</t>
    </r>
    <r>
      <rPr>
        <b/>
        <vertAlign val="subscript"/>
        <sz val="18"/>
        <rFont val="Arial"/>
        <family val="2"/>
        <charset val="161"/>
      </rPr>
      <t>4</t>
    </r>
    <r>
      <rPr>
        <b/>
        <sz val="18"/>
        <rFont val="Arial"/>
        <family val="2"/>
        <charset val="161"/>
      </rPr>
      <t xml:space="preserve"> </t>
    </r>
  </si>
  <si>
    <r>
      <t>NH</t>
    </r>
    <r>
      <rPr>
        <b/>
        <vertAlign val="subscript"/>
        <sz val="18"/>
        <rFont val="Arial"/>
        <family val="2"/>
        <charset val="161"/>
      </rPr>
      <t>4</t>
    </r>
    <r>
      <rPr>
        <b/>
        <sz val="18"/>
        <rFont val="Arial"/>
        <family val="2"/>
        <charset val="161"/>
      </rPr>
      <t>NO</t>
    </r>
    <r>
      <rPr>
        <b/>
        <vertAlign val="subscript"/>
        <sz val="18"/>
        <rFont val="Arial"/>
        <family val="2"/>
        <charset val="161"/>
      </rPr>
      <t>3</t>
    </r>
    <r>
      <rPr>
        <b/>
        <sz val="18"/>
        <rFont val="Arial"/>
        <family val="2"/>
        <charset val="161"/>
      </rPr>
      <t xml:space="preserve"> </t>
    </r>
  </si>
  <si>
    <r>
      <t>H</t>
    </r>
    <r>
      <rPr>
        <b/>
        <vertAlign val="subscript"/>
        <sz val="18"/>
        <rFont val="Arial"/>
        <family val="2"/>
        <charset val="161"/>
      </rPr>
      <t>3</t>
    </r>
    <r>
      <rPr>
        <b/>
        <sz val="18"/>
        <rFont val="Arial"/>
        <family val="2"/>
        <charset val="161"/>
      </rPr>
      <t>PO</t>
    </r>
    <r>
      <rPr>
        <b/>
        <vertAlign val="subscript"/>
        <sz val="18"/>
        <rFont val="Arial"/>
        <family val="2"/>
        <charset val="161"/>
      </rPr>
      <t>4</t>
    </r>
    <r>
      <rPr>
        <b/>
        <sz val="18"/>
        <rFont val="Arial"/>
        <family val="2"/>
        <charset val="161"/>
      </rPr>
      <t xml:space="preserve"> </t>
    </r>
  </si>
  <si>
    <r>
      <t>KH</t>
    </r>
    <r>
      <rPr>
        <b/>
        <vertAlign val="subscript"/>
        <sz val="18"/>
        <rFont val="Arial"/>
        <family val="2"/>
        <charset val="161"/>
      </rPr>
      <t>2</t>
    </r>
    <r>
      <rPr>
        <b/>
        <sz val="18"/>
        <rFont val="Arial"/>
        <family val="2"/>
        <charset val="161"/>
      </rPr>
      <t>PO</t>
    </r>
    <r>
      <rPr>
        <b/>
        <vertAlign val="subscript"/>
        <sz val="18"/>
        <rFont val="Arial"/>
        <family val="2"/>
        <charset val="161"/>
      </rPr>
      <t>4</t>
    </r>
  </si>
  <si>
    <r>
      <t>KNO</t>
    </r>
    <r>
      <rPr>
        <b/>
        <vertAlign val="subscript"/>
        <sz val="18"/>
        <rFont val="Arial"/>
        <family val="2"/>
        <charset val="161"/>
      </rPr>
      <t>3</t>
    </r>
    <r>
      <rPr>
        <b/>
        <sz val="18"/>
        <rFont val="Arial"/>
        <family val="2"/>
        <charset val="161"/>
      </rPr>
      <t xml:space="preserve"> </t>
    </r>
  </si>
  <si>
    <r>
      <t>HNO</t>
    </r>
    <r>
      <rPr>
        <b/>
        <vertAlign val="subscript"/>
        <sz val="18"/>
        <rFont val="Arial"/>
        <family val="2"/>
        <charset val="161"/>
      </rPr>
      <t>3</t>
    </r>
    <r>
      <rPr>
        <b/>
        <sz val="18"/>
        <rFont val="Arial"/>
        <family val="2"/>
        <charset val="161"/>
      </rPr>
      <t xml:space="preserve"> </t>
    </r>
  </si>
  <si>
    <r>
      <t>5[Ca(NO</t>
    </r>
    <r>
      <rPr>
        <vertAlign val="subscript"/>
        <sz val="11"/>
        <color theme="1"/>
        <rFont val="Times New Roman"/>
        <family val="1"/>
        <charset val="161"/>
      </rPr>
      <t>3</t>
    </r>
    <r>
      <rPr>
        <sz val="11"/>
        <color theme="1"/>
        <rFont val="Times New Roman"/>
        <family val="1"/>
        <charset val="161"/>
      </rPr>
      <t>)</t>
    </r>
    <r>
      <rPr>
        <vertAlign val="subscript"/>
        <sz val="11"/>
        <color theme="1"/>
        <rFont val="Times New Roman"/>
        <family val="1"/>
        <charset val="161"/>
      </rPr>
      <t>2</t>
    </r>
    <r>
      <rPr>
        <sz val="11"/>
        <color theme="1"/>
        <rFont val="Times New Roman"/>
        <family val="1"/>
        <charset val="161"/>
      </rPr>
      <t>.2H</t>
    </r>
    <r>
      <rPr>
        <vertAlign val="subscript"/>
        <sz val="11"/>
        <color theme="1"/>
        <rFont val="Times New Roman"/>
        <family val="1"/>
        <charset val="161"/>
      </rPr>
      <t>2</t>
    </r>
    <r>
      <rPr>
        <sz val="11"/>
        <color theme="1"/>
        <rFont val="Times New Roman"/>
        <family val="1"/>
        <charset val="161"/>
      </rPr>
      <t>O]NH</t>
    </r>
    <r>
      <rPr>
        <vertAlign val="subscript"/>
        <sz val="11"/>
        <color theme="1"/>
        <rFont val="Times New Roman"/>
        <family val="1"/>
        <charset val="161"/>
      </rPr>
      <t>4</t>
    </r>
    <r>
      <rPr>
        <sz val="11"/>
        <color theme="1"/>
        <rFont val="Times New Roman"/>
        <family val="1"/>
        <charset val="161"/>
      </rPr>
      <t>NO</t>
    </r>
    <r>
      <rPr>
        <vertAlign val="subscript"/>
        <sz val="11"/>
        <color theme="1"/>
        <rFont val="Times New Roman"/>
        <family val="1"/>
        <charset val="161"/>
      </rPr>
      <t>3</t>
    </r>
  </si>
  <si>
    <r>
      <t xml:space="preserve"> g/m</t>
    </r>
    <r>
      <rPr>
        <b/>
        <vertAlign val="superscript"/>
        <sz val="16"/>
        <rFont val="Times New Roman Greek"/>
        <family val="1"/>
        <charset val="161"/>
      </rPr>
      <t>3</t>
    </r>
  </si>
  <si>
    <t>Βασική συνταγή</t>
  </si>
  <si>
    <t>Προς το τέλος</t>
  </si>
  <si>
    <t>Αρχή ανάπτυξης</t>
  </si>
  <si>
    <t>Πλήρης καρποφορία</t>
  </si>
  <si>
    <t>Ανθούριο</t>
  </si>
  <si>
    <r>
      <t>kg/m</t>
    </r>
    <r>
      <rPr>
        <b/>
        <vertAlign val="superscript"/>
        <sz val="18"/>
        <rFont val="Arial"/>
        <family val="2"/>
        <charset val="161"/>
      </rPr>
      <t>3 οξύ εμπορίου</t>
    </r>
  </si>
  <si>
    <r>
      <rPr>
        <b/>
        <sz val="14"/>
        <rFont val="Arial"/>
        <family val="2"/>
        <charset val="161"/>
      </rPr>
      <t>g/m</t>
    </r>
    <r>
      <rPr>
        <b/>
        <vertAlign val="superscript"/>
        <sz val="14"/>
        <rFont val="Arial"/>
        <family val="2"/>
        <charset val="161"/>
      </rPr>
      <t>3</t>
    </r>
    <r>
      <rPr>
        <b/>
        <sz val="14"/>
        <rFont val="Arial"/>
        <family val="2"/>
        <charset val="161"/>
      </rPr>
      <t xml:space="preserve"> για 100 φορές πυκνότερο διάλυμα</t>
    </r>
  </si>
  <si>
    <t xml:space="preserve">ΑΠΟΤΕΛΕΣΜΑΤΑ Υπολογισμών </t>
  </si>
  <si>
    <t>Ανοιχτός</t>
  </si>
  <si>
    <t>Γ. Ν. Μαυρογιαννόπουλος</t>
  </si>
  <si>
    <t>Για το μαρούλι και το Χρυσάνθεμο υπάρχει μόνο για κλειστό τύπο κυκλοφορίας του διαλύματος!</t>
  </si>
  <si>
    <t>Για το Ανθούριο, υπάρχει μόνο για ανοιχτό τύπο κυκλοφορίας του διαλύματος!</t>
  </si>
  <si>
    <t>Υπολογισμός Ανόργανων Θρεπτικών Στοιχείων Υδροπονίας</t>
  </si>
  <si>
    <r>
      <rPr>
        <b/>
        <sz val="18"/>
        <rFont val="Arial Black"/>
        <family val="2"/>
        <charset val="161"/>
      </rPr>
      <t>Τοποθέτηση ΔΕΔΟΜΕΝΩΝ</t>
    </r>
    <r>
      <rPr>
        <b/>
        <sz val="16"/>
        <rFont val="Arial"/>
        <family val="2"/>
        <charset val="161"/>
      </rPr>
      <t xml:space="preserve"> </t>
    </r>
  </si>
  <si>
    <t>© Springer Science+Business Media B.V. 2009</t>
  </si>
  <si>
    <t>Στοιχεία κυρίως από:</t>
  </si>
  <si>
    <t>Plant Nutrition of Greenhouse Crops των Cees Sonneveld · Wim Voogt</t>
  </si>
  <si>
    <t>και πολλών άλλων πηγών</t>
  </si>
  <si>
    <t>Δημιουργία του  προγράμματος και προσαρμογή των στοιχείων:</t>
  </si>
  <si>
    <t>Μολυβδενικό Να</t>
  </si>
  <si>
    <t>e-mail: mavrog.g@gmail.com</t>
  </si>
  <si>
    <t>Τελική σύνθεση</t>
  </si>
  <si>
    <t xml:space="preserve"> EC</t>
  </si>
  <si>
    <t>Πρότυπη σύνθεση</t>
  </si>
  <si>
    <t>Στα κελιά F 35 και F 39 γράψτε το ποσοστό % των οξέων του εμπορίου που θα χρησιμοποιήσετε.</t>
  </si>
  <si>
    <t>Γραμμή 18</t>
  </si>
  <si>
    <t>Σχέσεις</t>
  </si>
  <si>
    <t>Ν/Κ=</t>
  </si>
  <si>
    <t>Ca/Mg=</t>
  </si>
  <si>
    <t>K/Ca</t>
  </si>
  <si>
    <t xml:space="preserve">Μακροστοιχεία Νερού </t>
  </si>
  <si>
    <t xml:space="preserve">Ιχνοστοιχεία Νερού </t>
  </si>
  <si>
    <r>
      <t>mmoll</t>
    </r>
    <r>
      <rPr>
        <b/>
        <vertAlign val="superscript"/>
        <sz val="18"/>
        <rFont val="Arial"/>
        <family val="2"/>
        <charset val="161"/>
      </rPr>
      <t xml:space="preserve">-1 </t>
    </r>
  </si>
  <si>
    <r>
      <rPr>
        <b/>
        <sz val="18"/>
        <rFont val="Arial"/>
        <family val="2"/>
        <charset val="161"/>
      </rPr>
      <t>μ</t>
    </r>
    <r>
      <rPr>
        <sz val="18"/>
        <rFont val="Arial"/>
        <family val="2"/>
        <charset val="161"/>
      </rPr>
      <t>moll</t>
    </r>
    <r>
      <rPr>
        <vertAlign val="superscript"/>
        <sz val="18"/>
        <rFont val="Arial"/>
        <family val="2"/>
        <charset val="161"/>
      </rPr>
      <t xml:space="preserve">-1 </t>
    </r>
  </si>
  <si>
    <t>Γραμμή 19</t>
  </si>
  <si>
    <t>Γραμμή 21</t>
  </si>
  <si>
    <t xml:space="preserve">Υπολογισμών </t>
  </si>
  <si>
    <t>Συμπληρώστε τα παρακάτω ζητούμενα στοιχεία, για αυτόματη δημιουργία</t>
  </si>
  <si>
    <r>
      <rPr>
        <b/>
        <u/>
        <sz val="18"/>
        <color rgb="FF003300"/>
        <rFont val="Times New Roman"/>
        <family val="1"/>
        <charset val="161"/>
      </rPr>
      <t>Στη "γραμμή 18</t>
    </r>
    <r>
      <rPr>
        <b/>
        <sz val="18"/>
        <color rgb="FF003300"/>
        <rFont val="Times New Roman"/>
        <family val="1"/>
        <charset val="161"/>
      </rPr>
      <t xml:space="preserve">" </t>
    </r>
    <r>
      <rPr>
        <sz val="18"/>
        <color rgb="FF003300"/>
        <rFont val="Times New Roman"/>
        <family val="1"/>
        <charset val="161"/>
      </rPr>
      <t>γράψτε αντίστοιχα πιθανές διορθώσεις ιόντων (σε mmol/l)</t>
    </r>
    <r>
      <rPr>
        <vertAlign val="superscript"/>
        <sz val="18"/>
        <color rgb="FF003300"/>
        <rFont val="Times New Roman"/>
        <family val="1"/>
        <charset val="161"/>
      </rPr>
      <t xml:space="preserve"> </t>
    </r>
    <r>
      <rPr>
        <sz val="18"/>
        <color rgb="FF003300"/>
        <rFont val="Times New Roman"/>
        <family val="1"/>
        <charset val="161"/>
      </rPr>
      <t>από τα στοιχεία ανάλυσης του διαλύματος στο ριζόστρωμα:</t>
    </r>
  </si>
  <si>
    <r>
      <t>Στις "</t>
    </r>
    <r>
      <rPr>
        <b/>
        <u/>
        <sz val="18"/>
        <color rgb="FF003300"/>
        <rFont val="Times New Roman"/>
        <family val="1"/>
        <charset val="161"/>
      </rPr>
      <t>γραμμές 19 και 21"</t>
    </r>
    <r>
      <rPr>
        <b/>
        <sz val="18"/>
        <color rgb="FF003300"/>
        <rFont val="Times New Roman"/>
        <family val="1"/>
        <charset val="161"/>
      </rPr>
      <t xml:space="preserve"> γράψτε αντίστοιχα τα στοιχεία του νερού σας:</t>
    </r>
  </si>
  <si>
    <t>Επιθυμητές διορθώσεις</t>
  </si>
  <si>
    <t>Επιλέξτε τον τύπο του συστήματος κυκλοφορίας του διαλύματος: (κελί N9)---&gt;</t>
  </si>
  <si>
    <t>Εάν έχετε συνταγή γράψτε την εδώ, αλλιώς αφήστε τα κενά---&gt;</t>
  </si>
  <si>
    <t>Επιλέξτε το Είδος Φυτού (κελί N 10):---&gt;</t>
  </si>
  <si>
    <t>Επιλέξτε το Στάδιο Ανάπτυξης των φυτών (κελί N 11 ):---&gt;</t>
  </si>
  <si>
    <t>Γράψτε την επιθυμητή ηλεκτρική αγωγιμότητα του διαλύματος (EC)  mS/cm (κελί N 14):---&gt;</t>
  </si>
  <si>
    <t xml:space="preserve"> καθαρότητα οξέος εμπορίου %</t>
  </si>
  <si>
    <r>
      <t>NO3</t>
    </r>
    <r>
      <rPr>
        <b/>
        <vertAlign val="superscript"/>
        <sz val="16"/>
        <rFont val="Arial"/>
        <family val="2"/>
        <charset val="161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</si>
</sst>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2" x14ac:knownFonts="1">
    <font>
      <sz val="11"/>
      <color theme="1"/>
      <name val="Calibri"/>
      <family val="2"/>
      <charset val="161"/>
      <scheme val="minor"/>
    </font>
    <font>
      <sz val="16"/>
      <name val="Arial"/>
      <family val="2"/>
      <charset val="161"/>
    </font>
    <font>
      <b/>
      <sz val="16"/>
      <name val="Times New Roman"/>
      <family val="1"/>
      <charset val="161"/>
    </font>
    <font>
      <b/>
      <sz val="10"/>
      <name val="Times New Roman"/>
      <family val="1"/>
      <charset val="161"/>
    </font>
    <font>
      <sz val="12"/>
      <name val="Arial"/>
      <family val="2"/>
      <charset val="161"/>
    </font>
    <font>
      <b/>
      <sz val="16"/>
      <color rgb="FFFF0000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sz val="16"/>
      <name val="Times New Roman"/>
      <family val="1"/>
      <charset val="161"/>
    </font>
    <font>
      <b/>
      <sz val="16"/>
      <name val="Arial"/>
      <family val="2"/>
      <charset val="161"/>
    </font>
    <font>
      <sz val="14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53"/>
      <name val="Times New Roman"/>
      <family val="1"/>
      <charset val="161"/>
    </font>
    <font>
      <sz val="10"/>
      <name val="Times New Roman"/>
      <family val="1"/>
      <charset val="161"/>
    </font>
    <font>
      <b/>
      <vertAlign val="subscript"/>
      <sz val="16"/>
      <name val="Times New Roman"/>
      <family val="1"/>
      <charset val="161"/>
    </font>
    <font>
      <b/>
      <sz val="14"/>
      <name val="Arial"/>
      <family val="2"/>
      <charset val="161"/>
    </font>
    <font>
      <sz val="14"/>
      <color indexed="17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b/>
      <vertAlign val="subscript"/>
      <sz val="12"/>
      <name val="Times New Roman"/>
      <family val="1"/>
      <charset val="161"/>
    </font>
    <font>
      <b/>
      <sz val="16"/>
      <color theme="0" tint="-0.34998626667073579"/>
      <name val="Times New Roman"/>
      <family val="1"/>
      <charset val="161"/>
    </font>
    <font>
      <b/>
      <sz val="12"/>
      <name val="Arial"/>
      <family val="2"/>
      <charset val="161"/>
    </font>
    <font>
      <sz val="15"/>
      <name val="Tahoma"/>
      <family val="2"/>
      <charset val="161"/>
    </font>
    <font>
      <b/>
      <sz val="16"/>
      <color theme="1"/>
      <name val="Arial"/>
      <family val="2"/>
      <charset val="161"/>
    </font>
    <font>
      <b/>
      <vertAlign val="superscript"/>
      <sz val="12"/>
      <name val="Arial"/>
      <family val="2"/>
      <charset val="161"/>
    </font>
    <font>
      <b/>
      <sz val="14"/>
      <name val="Tahoma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6"/>
      <color theme="1"/>
      <name val="Arial"/>
      <family val="2"/>
      <charset val="161"/>
    </font>
    <font>
      <b/>
      <vertAlign val="superscript"/>
      <sz val="16"/>
      <name val="Arial"/>
      <family val="2"/>
      <charset val="161"/>
    </font>
    <font>
      <b/>
      <sz val="16"/>
      <color indexed="10"/>
      <name val="Arial"/>
      <family val="2"/>
      <charset val="161"/>
    </font>
    <font>
      <b/>
      <i/>
      <sz val="16"/>
      <name val="Arial"/>
      <family val="2"/>
      <charset val="161"/>
    </font>
    <font>
      <b/>
      <sz val="16"/>
      <color indexed="12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6"/>
      <color rgb="FFFF0000"/>
      <name val="Arial"/>
      <family val="2"/>
      <charset val="161"/>
    </font>
    <font>
      <sz val="16"/>
      <color rgb="FFFF0000"/>
      <name val="Arial"/>
      <family val="2"/>
      <charset val="161"/>
    </font>
    <font>
      <b/>
      <sz val="14"/>
      <name val="Times New Roman"/>
      <family val="1"/>
      <charset val="161"/>
    </font>
    <font>
      <b/>
      <sz val="14"/>
      <color rgb="FF003300"/>
      <name val="Arial"/>
      <family val="2"/>
      <charset val="161"/>
    </font>
    <font>
      <b/>
      <sz val="9"/>
      <name val="Tahoma"/>
      <family val="2"/>
      <charset val="161"/>
    </font>
    <font>
      <b/>
      <sz val="18"/>
      <color rgb="FF0070C0"/>
      <name val="Arial"/>
      <family val="2"/>
      <charset val="161"/>
    </font>
    <font>
      <b/>
      <sz val="16"/>
      <color theme="9" tint="-0.249977111117893"/>
      <name val="Arial"/>
      <family val="2"/>
      <charset val="161"/>
    </font>
    <font>
      <sz val="16"/>
      <color theme="1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sz val="16"/>
      <color theme="1"/>
      <name val="Times New Roman"/>
      <family val="1"/>
      <charset val="161"/>
    </font>
    <font>
      <sz val="14"/>
      <color theme="1"/>
      <name val="Calibri"/>
      <family val="2"/>
      <charset val="161"/>
      <scheme val="minor"/>
    </font>
    <font>
      <b/>
      <sz val="14"/>
      <color indexed="53"/>
      <name val="Arial"/>
      <family val="2"/>
      <charset val="161"/>
    </font>
    <font>
      <sz val="14"/>
      <color indexed="53"/>
      <name val="Arial"/>
      <family val="2"/>
      <charset val="161"/>
    </font>
    <font>
      <b/>
      <sz val="18"/>
      <name val="Times New Roman"/>
      <family val="1"/>
      <charset val="161"/>
    </font>
    <font>
      <sz val="18"/>
      <color theme="1"/>
      <name val="Calibri"/>
      <family val="2"/>
      <charset val="161"/>
      <scheme val="minor"/>
    </font>
    <font>
      <b/>
      <sz val="18"/>
      <color rgb="FF003300"/>
      <name val="Times New Roman"/>
      <family val="1"/>
      <charset val="161"/>
    </font>
    <font>
      <b/>
      <sz val="18"/>
      <color rgb="FF003300"/>
      <name val="Arial"/>
      <family val="2"/>
      <charset val="161"/>
    </font>
    <font>
      <sz val="18"/>
      <name val="Arial"/>
      <family val="2"/>
      <charset val="161"/>
    </font>
    <font>
      <b/>
      <sz val="18"/>
      <color theme="9" tint="-0.249977111117893"/>
      <name val="Arial"/>
      <family val="2"/>
      <charset val="161"/>
    </font>
    <font>
      <b/>
      <sz val="18"/>
      <name val="Arial"/>
      <family val="2"/>
      <charset val="161"/>
    </font>
    <font>
      <sz val="18"/>
      <color theme="1"/>
      <name val="Arial"/>
      <family val="2"/>
      <charset val="161"/>
    </font>
    <font>
      <b/>
      <sz val="18"/>
      <color theme="1"/>
      <name val="Arial"/>
      <family val="2"/>
      <charset val="161"/>
    </font>
    <font>
      <b/>
      <vertAlign val="superscript"/>
      <sz val="18"/>
      <color theme="1"/>
      <name val="Arial"/>
      <family val="2"/>
      <charset val="161"/>
    </font>
    <font>
      <b/>
      <vertAlign val="superscript"/>
      <sz val="18"/>
      <name val="Arial"/>
      <family val="2"/>
      <charset val="161"/>
    </font>
    <font>
      <sz val="18"/>
      <color theme="9" tint="-0.249977111117893"/>
      <name val="Arial"/>
      <family val="2"/>
      <charset val="161"/>
    </font>
    <font>
      <b/>
      <vertAlign val="subscript"/>
      <sz val="18"/>
      <name val="Arial"/>
      <family val="2"/>
      <charset val="161"/>
    </font>
    <font>
      <b/>
      <sz val="18"/>
      <color indexed="12"/>
      <name val="Arial"/>
      <family val="2"/>
      <charset val="161"/>
    </font>
    <font>
      <sz val="15"/>
      <color theme="9" tint="-0.249977111117893"/>
      <name val="Arial"/>
      <family val="2"/>
      <charset val="161"/>
    </font>
    <font>
      <sz val="15"/>
      <name val="Arial"/>
      <family val="2"/>
      <charset val="161"/>
    </font>
    <font>
      <sz val="15"/>
      <name val="Times New Roman"/>
      <family val="1"/>
      <charset val="161"/>
    </font>
    <font>
      <sz val="15"/>
      <color theme="1"/>
      <name val="Calibri"/>
      <family val="2"/>
      <charset val="161"/>
      <scheme val="minor"/>
    </font>
    <font>
      <sz val="11"/>
      <color theme="1"/>
      <name val="Times New Roman"/>
      <family val="1"/>
      <charset val="161"/>
    </font>
    <font>
      <vertAlign val="subscript"/>
      <sz val="11"/>
      <color theme="1"/>
      <name val="Times New Roman"/>
      <family val="1"/>
      <charset val="161"/>
    </font>
    <font>
      <b/>
      <sz val="16"/>
      <name val="Times New Roman Greek"/>
      <family val="1"/>
      <charset val="161"/>
    </font>
    <font>
      <b/>
      <vertAlign val="superscript"/>
      <sz val="16"/>
      <name val="Times New Roman Greek"/>
      <family val="1"/>
      <charset val="161"/>
    </font>
    <font>
      <b/>
      <i/>
      <sz val="16"/>
      <name val="Times New Roman Greek"/>
      <family val="1"/>
      <charset val="161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Arial"/>
      <family val="2"/>
      <charset val="161"/>
    </font>
    <font>
      <b/>
      <sz val="11"/>
      <name val="Arial"/>
      <family val="2"/>
      <charset val="161"/>
    </font>
    <font>
      <b/>
      <sz val="14"/>
      <name val="Times New Roman Greek"/>
      <family val="1"/>
      <charset val="161"/>
    </font>
    <font>
      <b/>
      <vertAlign val="superscript"/>
      <sz val="14"/>
      <name val="Arial"/>
      <family val="2"/>
      <charset val="161"/>
    </font>
    <font>
      <sz val="16"/>
      <color theme="0" tint="-0.14999847407452621"/>
      <name val="Calibri"/>
      <family val="2"/>
      <charset val="161"/>
      <scheme val="minor"/>
    </font>
    <font>
      <sz val="18"/>
      <color rgb="FF003300"/>
      <name val="Times New Roman"/>
      <family val="1"/>
      <charset val="161"/>
    </font>
    <font>
      <b/>
      <u/>
      <sz val="18"/>
      <color rgb="FF003300"/>
      <name val="Times New Roman"/>
      <family val="1"/>
      <charset val="161"/>
    </font>
    <font>
      <vertAlign val="superscript"/>
      <sz val="18"/>
      <color rgb="FF003300"/>
      <name val="Times New Roman"/>
      <family val="1"/>
      <charset val="161"/>
    </font>
    <font>
      <b/>
      <i/>
      <sz val="16"/>
      <name val="Times New Roman"/>
      <family val="1"/>
      <charset val="161"/>
    </font>
    <font>
      <b/>
      <i/>
      <sz val="16"/>
      <color theme="1"/>
      <name val="Times New Roman"/>
      <family val="1"/>
      <charset val="161"/>
    </font>
    <font>
      <b/>
      <sz val="16"/>
      <name val="Arial Black"/>
      <family val="2"/>
      <charset val="161"/>
    </font>
    <font>
      <b/>
      <sz val="21"/>
      <color theme="9" tint="-0.249977111117893"/>
      <name val="Arial Black"/>
      <family val="2"/>
      <charset val="161"/>
    </font>
    <font>
      <b/>
      <sz val="18"/>
      <name val="Arial Black"/>
      <family val="2"/>
      <charset val="161"/>
    </font>
    <font>
      <sz val="24"/>
      <color theme="1"/>
      <name val="Arial Black"/>
      <family val="2"/>
      <charset val="161"/>
    </font>
    <font>
      <b/>
      <i/>
      <sz val="16"/>
      <color rgb="FFFF0000"/>
      <name val="Times New Roman"/>
      <family val="1"/>
      <charset val="161"/>
    </font>
    <font>
      <sz val="18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21"/>
      <color theme="1"/>
      <name val="Times New Roman"/>
      <family val="1"/>
      <charset val="161"/>
    </font>
    <font>
      <b/>
      <sz val="21"/>
      <color theme="9" tint="-0.249977111117893"/>
      <name val="Times New Roman"/>
      <family val="1"/>
      <charset val="161"/>
    </font>
    <font>
      <vertAlign val="superscript"/>
      <sz val="18"/>
      <name val="Arial"/>
      <family val="2"/>
      <charset val="161"/>
    </font>
    <font>
      <b/>
      <sz val="16"/>
      <color theme="9" tint="-0.249977111117893"/>
      <name val="Times New Roman"/>
      <family val="1"/>
      <charset val="161"/>
    </font>
    <font>
      <b/>
      <sz val="16"/>
      <color theme="0" tint="-0.14999847407452621"/>
      <name val="Calibri"/>
      <family val="2"/>
      <charset val="161"/>
      <scheme val="minor"/>
    </font>
    <font>
      <b/>
      <sz val="21"/>
      <color rgb="FFFF000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8"/>
      <color indexed="53"/>
      <name val="Arial"/>
      <family val="2"/>
      <charset val="161"/>
    </font>
    <font>
      <b/>
      <sz val="21"/>
      <color theme="1"/>
      <name val="Arial"/>
      <family val="2"/>
      <charset val="161"/>
    </font>
    <font>
      <b/>
      <sz val="18"/>
      <color rgb="FFFF0000"/>
      <name val="Times New Roman"/>
      <family val="1"/>
      <charset val="161"/>
    </font>
    <font>
      <sz val="21"/>
      <color rgb="FFFF0000"/>
      <name val="Tahoma"/>
      <family val="2"/>
      <charset val="161"/>
    </font>
    <font>
      <sz val="3"/>
      <color theme="1"/>
      <name val="Arial"/>
      <family val="2"/>
      <charset val="161"/>
    </font>
    <font>
      <sz val="18"/>
      <color indexed="53"/>
      <name val="Arial"/>
      <family val="2"/>
      <charset val="16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EEAB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2"/>
      </right>
      <top style="medium">
        <color indexed="64"/>
      </top>
      <bottom style="medium">
        <color indexed="64"/>
      </bottom>
      <diagonal/>
    </border>
    <border>
      <left style="medium">
        <color indexed="62"/>
      </left>
      <right style="medium">
        <color indexed="62"/>
      </right>
      <top style="medium">
        <color indexed="64"/>
      </top>
      <bottom style="medium">
        <color indexed="64"/>
      </bottom>
      <diagonal/>
    </border>
    <border>
      <left style="medium">
        <color indexed="62"/>
      </left>
      <right/>
      <top style="medium">
        <color indexed="64"/>
      </top>
      <bottom style="medium">
        <color indexed="64"/>
      </bottom>
      <diagonal/>
    </border>
    <border>
      <left style="medium">
        <color indexed="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thick">
        <color indexed="62"/>
      </right>
      <top style="medium">
        <color indexed="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medium">
        <color indexed="64"/>
      </left>
      <right/>
      <top style="medium">
        <color indexed="62"/>
      </top>
      <bottom style="medium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2"/>
      </top>
      <bottom style="medium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2"/>
      </bottom>
      <diagonal/>
    </border>
    <border>
      <left/>
      <right style="medium">
        <color indexed="62"/>
      </right>
      <top style="medium">
        <color indexed="64"/>
      </top>
      <bottom style="medium">
        <color indexed="62"/>
      </bottom>
      <diagonal/>
    </border>
    <border>
      <left style="medium">
        <color indexed="62"/>
      </left>
      <right/>
      <top style="medium">
        <color indexed="64"/>
      </top>
      <bottom style="medium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4"/>
      </left>
      <right style="medium">
        <color indexed="62"/>
      </right>
      <top style="medium">
        <color indexed="62"/>
      </top>
      <bottom/>
      <diagonal/>
    </border>
    <border>
      <left style="medium">
        <color indexed="64"/>
      </left>
      <right style="medium">
        <color indexed="62"/>
      </right>
      <top/>
      <bottom style="medium">
        <color indexed="62"/>
      </bottom>
      <diagonal/>
    </border>
    <border>
      <left style="medium">
        <color indexed="64"/>
      </left>
      <right/>
      <top style="medium">
        <color indexed="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2"/>
      </left>
      <right style="medium">
        <color indexed="62"/>
      </right>
      <top style="double">
        <color indexed="64"/>
      </top>
      <bottom style="medium">
        <color indexed="62"/>
      </bottom>
      <diagonal/>
    </border>
    <border>
      <left style="medium">
        <color indexed="62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medium">
        <color indexed="62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2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2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2"/>
      </right>
      <top style="double">
        <color indexed="64"/>
      </top>
      <bottom/>
      <diagonal/>
    </border>
    <border>
      <left style="medium">
        <color indexed="62"/>
      </left>
      <right style="medium">
        <color indexed="62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2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2"/>
      </right>
      <top style="thin">
        <color indexed="64"/>
      </top>
      <bottom style="thick">
        <color indexed="64"/>
      </bottom>
      <diagonal/>
    </border>
    <border>
      <left/>
      <right style="medium">
        <color indexed="62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2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auto="1"/>
      </top>
      <bottom/>
      <diagonal/>
    </border>
    <border>
      <left/>
      <right style="medium">
        <color indexed="62"/>
      </right>
      <top style="double">
        <color indexed="62"/>
      </top>
      <bottom/>
      <diagonal/>
    </border>
    <border>
      <left style="medium">
        <color indexed="62"/>
      </left>
      <right/>
      <top style="double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medium">
        <color indexed="62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2"/>
      </right>
      <top/>
      <bottom style="thick">
        <color indexed="64"/>
      </bottom>
      <diagonal/>
    </border>
    <border>
      <left style="medium">
        <color indexed="62"/>
      </left>
      <right style="medium">
        <color indexed="62"/>
      </right>
      <top/>
      <bottom style="thick">
        <color indexed="64"/>
      </bottom>
      <diagonal/>
    </border>
    <border>
      <left style="medium">
        <color indexed="62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2"/>
      </left>
      <right style="medium">
        <color indexed="62"/>
      </right>
      <top style="medium">
        <color indexed="64"/>
      </top>
      <bottom style="thick">
        <color indexed="64"/>
      </bottom>
      <diagonal/>
    </border>
    <border>
      <left style="medium">
        <color indexed="62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2"/>
      </left>
      <right style="thick">
        <color indexed="62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medium">
        <color indexed="62"/>
      </right>
      <top style="thick">
        <color indexed="64"/>
      </top>
      <bottom/>
      <diagonal/>
    </border>
    <border>
      <left style="medium">
        <color indexed="62"/>
      </left>
      <right style="medium">
        <color indexed="62"/>
      </right>
      <top style="thick">
        <color indexed="64"/>
      </top>
      <bottom/>
      <diagonal/>
    </border>
    <border>
      <left style="medium">
        <color indexed="62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2"/>
      </right>
      <top/>
      <bottom/>
      <diagonal/>
    </border>
    <border>
      <left style="medium">
        <color indexed="62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11" borderId="0" applyNumberFormat="0" applyBorder="0" applyAlignment="0" applyProtection="0"/>
    <xf numFmtId="0" fontId="28" fillId="0" borderId="0"/>
  </cellStyleXfs>
  <cellXfs count="675">
    <xf numFmtId="0" fontId="0" fillId="0" borderId="0" xfId="0"/>
    <xf numFmtId="0" fontId="1" fillId="0" borderId="0" xfId="0" applyFont="1" applyAlignment="1">
      <alignment vertical="center"/>
    </xf>
    <xf numFmtId="0" fontId="5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vertical="top" wrapText="1"/>
    </xf>
    <xf numFmtId="2" fontId="13" fillId="0" borderId="22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vertical="top" wrapText="1"/>
    </xf>
    <xf numFmtId="2" fontId="13" fillId="0" borderId="26" xfId="0" applyNumberFormat="1" applyFont="1" applyBorder="1" applyAlignment="1">
      <alignment vertical="top" wrapText="1"/>
    </xf>
    <xf numFmtId="2" fontId="13" fillId="0" borderId="15" xfId="0" applyNumberFormat="1" applyFont="1" applyBorder="1" applyAlignment="1">
      <alignment vertical="top" wrapText="1"/>
    </xf>
    <xf numFmtId="2" fontId="13" fillId="0" borderId="27" xfId="0" applyNumberFormat="1" applyFont="1" applyBorder="1" applyAlignment="1">
      <alignment vertical="top" wrapText="1"/>
    </xf>
    <xf numFmtId="0" fontId="2" fillId="9" borderId="29" xfId="0" applyFont="1" applyFill="1" applyBorder="1" applyAlignment="1">
      <alignment vertical="top" wrapText="1"/>
    </xf>
    <xf numFmtId="2" fontId="13" fillId="0" borderId="23" xfId="0" applyNumberFormat="1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13" fillId="0" borderId="30" xfId="0" applyNumberFormat="1" applyFont="1" applyBorder="1" applyAlignment="1">
      <alignment vertical="top" wrapText="1"/>
    </xf>
    <xf numFmtId="0" fontId="15" fillId="9" borderId="1" xfId="0" applyFont="1" applyFill="1" applyBorder="1"/>
    <xf numFmtId="0" fontId="16" fillId="9" borderId="2" xfId="0" applyFont="1" applyFill="1" applyBorder="1"/>
    <xf numFmtId="2" fontId="2" fillId="0" borderId="29" xfId="0" applyNumberFormat="1" applyFont="1" applyBorder="1" applyAlignment="1">
      <alignment vertical="center"/>
    </xf>
    <xf numFmtId="2" fontId="13" fillId="0" borderId="29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2" fontId="2" fillId="0" borderId="22" xfId="0" applyNumberFormat="1" applyFont="1" applyBorder="1" applyAlignment="1">
      <alignment vertical="center" wrapText="1"/>
    </xf>
    <xf numFmtId="2" fontId="13" fillId="0" borderId="22" xfId="0" applyNumberFormat="1" applyFont="1" applyBorder="1" applyAlignment="1">
      <alignment vertical="center" wrapText="1"/>
    </xf>
    <xf numFmtId="2" fontId="13" fillId="0" borderId="26" xfId="0" applyNumberFormat="1" applyFont="1" applyBorder="1" applyAlignment="1">
      <alignment vertical="center" wrapText="1"/>
    </xf>
    <xf numFmtId="0" fontId="2" fillId="9" borderId="31" xfId="0" applyFont="1" applyFill="1" applyBorder="1" applyAlignment="1">
      <alignment vertical="center" wrapText="1"/>
    </xf>
    <xf numFmtId="2" fontId="13" fillId="0" borderId="15" xfId="0" applyNumberFormat="1" applyFont="1" applyBorder="1" applyAlignment="1">
      <alignment vertical="center" wrapText="1"/>
    </xf>
    <xf numFmtId="2" fontId="2" fillId="0" borderId="15" xfId="0" applyNumberFormat="1" applyFont="1" applyBorder="1" applyAlignment="1">
      <alignment vertical="center" wrapText="1"/>
    </xf>
    <xf numFmtId="2" fontId="13" fillId="0" borderId="27" xfId="0" applyNumberFormat="1" applyFont="1" applyBorder="1" applyAlignment="1">
      <alignment vertical="center" wrapText="1"/>
    </xf>
    <xf numFmtId="2" fontId="2" fillId="10" borderId="32" xfId="0" applyNumberFormat="1" applyFont="1" applyFill="1" applyBorder="1"/>
    <xf numFmtId="2" fontId="2" fillId="9" borderId="26" xfId="0" applyNumberFormat="1" applyFont="1" applyFill="1" applyBorder="1" applyAlignment="1">
      <alignment vertical="center" wrapText="1"/>
    </xf>
    <xf numFmtId="2" fontId="2" fillId="9" borderId="27" xfId="0" applyNumberFormat="1" applyFont="1" applyFill="1" applyBorder="1" applyAlignment="1">
      <alignment vertical="top" wrapText="1"/>
    </xf>
    <xf numFmtId="2" fontId="2" fillId="9" borderId="1" xfId="0" applyNumberFormat="1" applyFont="1" applyFill="1" applyBorder="1" applyAlignment="1">
      <alignment vertical="center"/>
    </xf>
    <xf numFmtId="2" fontId="2" fillId="9" borderId="21" xfId="0" applyNumberFormat="1" applyFont="1" applyFill="1" applyBorder="1" applyAlignment="1">
      <alignment vertical="top" wrapText="1"/>
    </xf>
    <xf numFmtId="2" fontId="2" fillId="9" borderId="26" xfId="0" applyNumberFormat="1" applyFont="1" applyFill="1" applyBorder="1" applyAlignment="1">
      <alignment vertical="top" wrapText="1"/>
    </xf>
    <xf numFmtId="2" fontId="2" fillId="9" borderId="27" xfId="0" applyNumberFormat="1" applyFont="1" applyFill="1" applyBorder="1" applyAlignment="1">
      <alignment vertical="center" wrapText="1"/>
    </xf>
    <xf numFmtId="2" fontId="2" fillId="9" borderId="30" xfId="0" applyNumberFormat="1" applyFont="1" applyFill="1" applyBorder="1" applyAlignment="1">
      <alignment vertical="top" wrapText="1"/>
    </xf>
    <xf numFmtId="2" fontId="13" fillId="0" borderId="14" xfId="0" applyNumberFormat="1" applyFont="1" applyBorder="1" applyAlignment="1">
      <alignment vertical="top" wrapText="1"/>
    </xf>
    <xf numFmtId="2" fontId="13" fillId="0" borderId="8" xfId="0" applyNumberFormat="1" applyFont="1" applyBorder="1" applyAlignment="1">
      <alignment vertical="center"/>
    </xf>
    <xf numFmtId="2" fontId="13" fillId="0" borderId="20" xfId="0" applyNumberFormat="1" applyFont="1" applyBorder="1" applyAlignment="1">
      <alignment vertical="top" wrapText="1"/>
    </xf>
    <xf numFmtId="2" fontId="13" fillId="0" borderId="33" xfId="0" applyNumberFormat="1" applyFont="1" applyBorder="1" applyAlignment="1">
      <alignment vertical="center" wrapText="1"/>
    </xf>
    <xf numFmtId="2" fontId="2" fillId="0" borderId="33" xfId="0" applyNumberFormat="1" applyFont="1" applyBorder="1" applyAlignment="1">
      <alignment vertical="top" wrapText="1"/>
    </xf>
    <xf numFmtId="2" fontId="2" fillId="0" borderId="34" xfId="0" applyNumberFormat="1" applyFont="1" applyBorder="1" applyAlignment="1">
      <alignment vertical="center" wrapText="1"/>
    </xf>
    <xf numFmtId="2" fontId="13" fillId="0" borderId="36" xfId="0" applyNumberFormat="1" applyFont="1" applyBorder="1" applyAlignment="1">
      <alignment vertical="top" wrapText="1"/>
    </xf>
    <xf numFmtId="2" fontId="13" fillId="0" borderId="37" xfId="0" applyNumberFormat="1" applyFont="1" applyBorder="1" applyAlignment="1">
      <alignment vertical="top" wrapText="1"/>
    </xf>
    <xf numFmtId="2" fontId="2" fillId="0" borderId="38" xfId="0" applyNumberFormat="1" applyFont="1" applyBorder="1" applyAlignment="1">
      <alignment vertical="center" wrapText="1"/>
    </xf>
    <xf numFmtId="2" fontId="13" fillId="0" borderId="38" xfId="0" applyNumberFormat="1" applyFont="1" applyBorder="1" applyAlignment="1">
      <alignment vertical="top" wrapText="1"/>
    </xf>
    <xf numFmtId="2" fontId="13" fillId="0" borderId="36" xfId="0" applyNumberFormat="1" applyFont="1" applyBorder="1" applyAlignment="1">
      <alignment vertical="center" wrapText="1"/>
    </xf>
    <xf numFmtId="0" fontId="0" fillId="0" borderId="29" xfId="0" applyBorder="1"/>
    <xf numFmtId="2" fontId="2" fillId="0" borderId="37" xfId="0" applyNumberFormat="1" applyFont="1" applyBorder="1" applyAlignment="1">
      <alignment vertical="top" wrapText="1"/>
    </xf>
    <xf numFmtId="0" fontId="0" fillId="0" borderId="2" xfId="0" applyBorder="1"/>
    <xf numFmtId="2" fontId="2" fillId="0" borderId="2" xfId="0" applyNumberFormat="1" applyFont="1" applyBorder="1"/>
    <xf numFmtId="2" fontId="2" fillId="0" borderId="37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13" fillId="0" borderId="23" xfId="0" applyNumberFormat="1" applyFont="1" applyBorder="1" applyAlignment="1">
      <alignment vertical="center" wrapText="1"/>
    </xf>
    <xf numFmtId="2" fontId="2" fillId="0" borderId="11" xfId="0" applyNumberFormat="1" applyFont="1" applyBorder="1" applyAlignment="1">
      <alignment vertical="center" wrapText="1"/>
    </xf>
    <xf numFmtId="2" fontId="13" fillId="0" borderId="40" xfId="0" applyNumberFormat="1" applyFont="1" applyBorder="1" applyAlignment="1">
      <alignment vertical="top" wrapText="1"/>
    </xf>
    <xf numFmtId="2" fontId="13" fillId="0" borderId="41" xfId="0" applyNumberFormat="1" applyFont="1" applyBorder="1" applyAlignment="1">
      <alignment vertical="center"/>
    </xf>
    <xf numFmtId="0" fontId="0" fillId="0" borderId="1" xfId="0" applyBorder="1"/>
    <xf numFmtId="2" fontId="13" fillId="0" borderId="28" xfId="0" applyNumberFormat="1" applyFont="1" applyBorder="1" applyAlignment="1">
      <alignment vertical="center" wrapText="1"/>
    </xf>
    <xf numFmtId="2" fontId="2" fillId="0" borderId="36" xfId="0" applyNumberFormat="1" applyFont="1" applyBorder="1" applyAlignment="1">
      <alignment vertical="top" wrapText="1"/>
    </xf>
    <xf numFmtId="2" fontId="2" fillId="0" borderId="29" xfId="0" applyNumberFormat="1" applyFont="1" applyBorder="1" applyAlignment="1">
      <alignment vertical="center" wrapText="1"/>
    </xf>
    <xf numFmtId="2" fontId="13" fillId="0" borderId="38" xfId="0" applyNumberFormat="1" applyFont="1" applyBorder="1" applyAlignment="1">
      <alignment vertical="center" wrapText="1"/>
    </xf>
    <xf numFmtId="0" fontId="17" fillId="0" borderId="42" xfId="0" applyFont="1" applyBorder="1"/>
    <xf numFmtId="0" fontId="17" fillId="0" borderId="43" xfId="0" applyFont="1" applyBorder="1"/>
    <xf numFmtId="2" fontId="2" fillId="0" borderId="43" xfId="0" applyNumberFormat="1" applyFont="1" applyBorder="1"/>
    <xf numFmtId="0" fontId="0" fillId="0" borderId="44" xfId="0" applyBorder="1"/>
    <xf numFmtId="2" fontId="25" fillId="5" borderId="2" xfId="0" applyNumberFormat="1" applyFont="1" applyFill="1" applyBorder="1" applyAlignment="1">
      <alignment horizontal="right" vertical="top" wrapText="1"/>
    </xf>
    <xf numFmtId="2" fontId="26" fillId="5" borderId="2" xfId="0" applyNumberFormat="1" applyFont="1" applyFill="1" applyBorder="1" applyAlignment="1">
      <alignment horizontal="right"/>
    </xf>
    <xf numFmtId="2" fontId="25" fillId="5" borderId="29" xfId="0" applyNumberFormat="1" applyFont="1" applyFill="1" applyBorder="1" applyAlignment="1">
      <alignment horizontal="right" vertical="top" wrapText="1"/>
    </xf>
    <xf numFmtId="2" fontId="22" fillId="6" borderId="13" xfId="0" applyNumberFormat="1" applyFont="1" applyFill="1" applyBorder="1" applyAlignment="1">
      <alignment horizontal="right" vertical="top" wrapText="1"/>
    </xf>
    <xf numFmtId="2" fontId="22" fillId="6" borderId="18" xfId="0" applyNumberFormat="1" applyFont="1" applyFill="1" applyBorder="1" applyAlignment="1">
      <alignment horizontal="right" vertical="top" wrapText="1"/>
    </xf>
    <xf numFmtId="0" fontId="17" fillId="0" borderId="0" xfId="0" applyFont="1"/>
    <xf numFmtId="0" fontId="0" fillId="0" borderId="50" xfId="0" applyBorder="1"/>
    <xf numFmtId="0" fontId="0" fillId="0" borderId="48" xfId="0" applyBorder="1"/>
    <xf numFmtId="0" fontId="17" fillId="0" borderId="51" xfId="0" applyFont="1" applyBorder="1"/>
    <xf numFmtId="0" fontId="20" fillId="2" borderId="56" xfId="0" applyFont="1" applyFill="1" applyBorder="1" applyAlignment="1">
      <alignment horizontal="center" vertical="top" wrapText="1"/>
    </xf>
    <xf numFmtId="0" fontId="0" fillId="2" borderId="0" xfId="0" applyFill="1" applyBorder="1"/>
    <xf numFmtId="0" fontId="0" fillId="2" borderId="56" xfId="0" applyFill="1" applyBorder="1"/>
    <xf numFmtId="0" fontId="2" fillId="9" borderId="58" xfId="0" applyFont="1" applyFill="1" applyBorder="1" applyAlignment="1">
      <alignment vertical="top" wrapText="1"/>
    </xf>
    <xf numFmtId="0" fontId="2" fillId="9" borderId="59" xfId="0" applyFont="1" applyFill="1" applyBorder="1" applyAlignment="1">
      <alignment vertical="center" wrapText="1"/>
    </xf>
    <xf numFmtId="0" fontId="2" fillId="9" borderId="57" xfId="0" applyFont="1" applyFill="1" applyBorder="1" applyAlignment="1">
      <alignment vertical="top" wrapText="1"/>
    </xf>
    <xf numFmtId="0" fontId="2" fillId="9" borderId="60" xfId="0" applyFont="1" applyFill="1" applyBorder="1" applyAlignment="1">
      <alignment vertical="top" wrapText="1"/>
    </xf>
    <xf numFmtId="0" fontId="17" fillId="0" borderId="49" xfId="0" applyFont="1" applyBorder="1"/>
    <xf numFmtId="0" fontId="8" fillId="0" borderId="0" xfId="0" applyFont="1" applyFill="1" applyBorder="1" applyAlignment="1">
      <alignment horizontal="center" vertical="top" wrapText="1"/>
    </xf>
    <xf numFmtId="0" fontId="29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65" xfId="0" applyFont="1" applyBorder="1"/>
    <xf numFmtId="0" fontId="1" fillId="6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6" borderId="72" xfId="0" applyFont="1" applyFill="1" applyBorder="1"/>
    <xf numFmtId="0" fontId="1" fillId="6" borderId="73" xfId="0" applyFont="1" applyFill="1" applyBorder="1"/>
    <xf numFmtId="0" fontId="29" fillId="0" borderId="0" xfId="0" applyFont="1" applyFill="1" applyBorder="1"/>
    <xf numFmtId="0" fontId="1" fillId="0" borderId="0" xfId="0" applyFont="1" applyFill="1" applyBorder="1"/>
    <xf numFmtId="0" fontId="1" fillId="0" borderId="74" xfId="0" applyFont="1" applyBorder="1"/>
    <xf numFmtId="0" fontId="8" fillId="14" borderId="63" xfId="0" applyFont="1" applyFill="1" applyBorder="1" applyAlignment="1">
      <alignment horizontal="center"/>
    </xf>
    <xf numFmtId="0" fontId="8" fillId="6" borderId="63" xfId="0" applyFont="1" applyFill="1" applyBorder="1" applyAlignment="1">
      <alignment horizontal="center"/>
    </xf>
    <xf numFmtId="0" fontId="1" fillId="6" borderId="63" xfId="0" applyFont="1" applyFill="1" applyBorder="1"/>
    <xf numFmtId="0" fontId="1" fillId="6" borderId="64" xfId="0" applyFont="1" applyFill="1" applyBorder="1"/>
    <xf numFmtId="0" fontId="29" fillId="0" borderId="0" xfId="0" applyFont="1" applyBorder="1"/>
    <xf numFmtId="0" fontId="8" fillId="17" borderId="39" xfId="0" applyFont="1" applyFill="1" applyBorder="1" applyAlignment="1">
      <alignment horizontal="center" vertical="center" wrapText="1"/>
    </xf>
    <xf numFmtId="0" fontId="1" fillId="17" borderId="61" xfId="0" applyFont="1" applyFill="1" applyBorder="1"/>
    <xf numFmtId="0" fontId="1" fillId="0" borderId="72" xfId="0" applyFont="1" applyBorder="1"/>
    <xf numFmtId="0" fontId="1" fillId="0" borderId="73" xfId="0" applyFont="1" applyBorder="1"/>
    <xf numFmtId="2" fontId="33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textRotation="255" wrapText="1"/>
      <protection hidden="1"/>
    </xf>
    <xf numFmtId="2" fontId="1" fillId="0" borderId="0" xfId="0" applyNumberFormat="1" applyFont="1" applyFill="1" applyBorder="1"/>
    <xf numFmtId="2" fontId="6" fillId="8" borderId="29" xfId="0" applyNumberFormat="1" applyFont="1" applyFill="1" applyBorder="1"/>
    <xf numFmtId="2" fontId="6" fillId="8" borderId="2" xfId="0" applyNumberFormat="1" applyFont="1" applyFill="1" applyBorder="1"/>
    <xf numFmtId="2" fontId="6" fillId="8" borderId="35" xfId="0" applyNumberFormat="1" applyFont="1" applyFill="1" applyBorder="1"/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2" fontId="2" fillId="7" borderId="4" xfId="0" applyNumberFormat="1" applyFont="1" applyFill="1" applyBorder="1" applyAlignment="1">
      <alignment horizontal="center" vertical="top" wrapText="1"/>
    </xf>
    <xf numFmtId="2" fontId="29" fillId="0" borderId="0" xfId="0" applyNumberFormat="1" applyFont="1"/>
    <xf numFmtId="2" fontId="36" fillId="0" borderId="0" xfId="0" applyNumberFormat="1" applyFont="1"/>
    <xf numFmtId="2" fontId="2" fillId="3" borderId="18" xfId="0" applyNumberFormat="1" applyFont="1" applyFill="1" applyBorder="1" applyAlignment="1">
      <alignment vertical="top" wrapText="1"/>
    </xf>
    <xf numFmtId="2" fontId="2" fillId="3" borderId="28" xfId="0" applyNumberFormat="1" applyFont="1" applyFill="1" applyBorder="1" applyAlignment="1">
      <alignment vertical="top" wrapText="1"/>
    </xf>
    <xf numFmtId="2" fontId="2" fillId="3" borderId="52" xfId="0" applyNumberFormat="1" applyFont="1" applyFill="1" applyBorder="1" applyAlignment="1">
      <alignment vertical="top" wrapText="1"/>
    </xf>
    <xf numFmtId="2" fontId="2" fillId="3" borderId="53" xfId="0" applyNumberFormat="1" applyFont="1" applyFill="1" applyBorder="1" applyAlignment="1">
      <alignment vertical="top" wrapText="1"/>
    </xf>
    <xf numFmtId="2" fontId="18" fillId="3" borderId="54" xfId="0" applyNumberFormat="1" applyFont="1" applyFill="1" applyBorder="1" applyAlignment="1">
      <alignment vertical="top" wrapText="1"/>
    </xf>
    <xf numFmtId="0" fontId="43" fillId="2" borderId="0" xfId="0" applyFont="1" applyFill="1" applyAlignment="1">
      <alignment horizontal="center" vertical="center"/>
    </xf>
    <xf numFmtId="2" fontId="2" fillId="7" borderId="91" xfId="0" applyNumberFormat="1" applyFont="1" applyFill="1" applyBorder="1" applyAlignment="1">
      <alignment horizontal="center" vertical="top" wrapText="1"/>
    </xf>
    <xf numFmtId="2" fontId="7" fillId="6" borderId="29" xfId="0" applyNumberFormat="1" applyFont="1" applyFill="1" applyBorder="1" applyAlignment="1">
      <alignment horizontal="right" vertical="top" wrapText="1"/>
    </xf>
    <xf numFmtId="2" fontId="7" fillId="6" borderId="2" xfId="0" applyNumberFormat="1" applyFont="1" applyFill="1" applyBorder="1" applyAlignment="1">
      <alignment horizontal="right" vertical="top" wrapText="1"/>
    </xf>
    <xf numFmtId="2" fontId="42" fillId="0" borderId="8" xfId="0" applyNumberFormat="1" applyFont="1" applyBorder="1"/>
    <xf numFmtId="0" fontId="42" fillId="0" borderId="2" xfId="0" applyFont="1" applyBorder="1"/>
    <xf numFmtId="2" fontId="42" fillId="0" borderId="2" xfId="0" applyNumberFormat="1" applyFont="1" applyBorder="1"/>
    <xf numFmtId="0" fontId="42" fillId="0" borderId="8" xfId="0" applyFont="1" applyBorder="1"/>
    <xf numFmtId="0" fontId="15" fillId="4" borderId="25" xfId="0" applyFont="1" applyFill="1" applyBorder="1" applyAlignment="1" applyProtection="1">
      <alignment horizontal="center" vertical="center"/>
      <protection hidden="1"/>
    </xf>
    <xf numFmtId="0" fontId="15" fillId="4" borderId="93" xfId="0" applyFont="1" applyFill="1" applyBorder="1" applyAlignment="1" applyProtection="1">
      <alignment horizontal="center" vertical="center"/>
      <protection hidden="1"/>
    </xf>
    <xf numFmtId="0" fontId="15" fillId="4" borderId="96" xfId="0" applyFont="1" applyFill="1" applyBorder="1" applyAlignment="1" applyProtection="1">
      <alignment horizontal="center" vertical="center"/>
      <protection hidden="1"/>
    </xf>
    <xf numFmtId="0" fontId="0" fillId="6" borderId="0" xfId="0" applyFill="1" applyBorder="1"/>
    <xf numFmtId="0" fontId="0" fillId="0" borderId="25" xfId="0" applyBorder="1"/>
    <xf numFmtId="2" fontId="2" fillId="0" borderId="25" xfId="0" applyNumberFormat="1" applyFont="1" applyFill="1" applyBorder="1" applyAlignment="1">
      <alignment horizontal="center" vertical="top" wrapText="1"/>
    </xf>
    <xf numFmtId="2" fontId="1" fillId="0" borderId="25" xfId="0" applyNumberFormat="1" applyFont="1" applyFill="1" applyBorder="1"/>
    <xf numFmtId="2" fontId="7" fillId="6" borderId="84" xfId="0" applyNumberFormat="1" applyFont="1" applyFill="1" applyBorder="1" applyAlignment="1">
      <alignment horizontal="right" vertical="top" wrapText="1"/>
    </xf>
    <xf numFmtId="2" fontId="44" fillId="0" borderId="84" xfId="0" applyNumberFormat="1" applyFont="1" applyBorder="1"/>
    <xf numFmtId="2" fontId="7" fillId="0" borderId="15" xfId="0" applyNumberFormat="1" applyFont="1" applyBorder="1" applyAlignment="1">
      <alignment horizontal="right" vertical="center" wrapText="1"/>
    </xf>
    <xf numFmtId="2" fontId="1" fillId="0" borderId="97" xfId="0" applyNumberFormat="1" applyFont="1" applyBorder="1" applyAlignment="1">
      <alignment horizontal="right" vertical="center" wrapText="1"/>
    </xf>
    <xf numFmtId="2" fontId="1" fillId="0" borderId="29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horizontal="right" vertical="center"/>
    </xf>
    <xf numFmtId="0" fontId="0" fillId="0" borderId="63" xfId="0" applyBorder="1"/>
    <xf numFmtId="164" fontId="8" fillId="0" borderId="0" xfId="0" applyNumberFormat="1" applyFont="1" applyFill="1" applyBorder="1" applyAlignment="1">
      <alignment horizontal="center"/>
    </xf>
    <xf numFmtId="0" fontId="44" fillId="0" borderId="2" xfId="0" applyFont="1" applyBorder="1"/>
    <xf numFmtId="0" fontId="44" fillId="0" borderId="8" xfId="0" applyFont="1" applyBorder="1"/>
    <xf numFmtId="0" fontId="44" fillId="0" borderId="55" xfId="0" applyFont="1" applyBorder="1"/>
    <xf numFmtId="0" fontId="44" fillId="0" borderId="34" xfId="0" applyFont="1" applyBorder="1"/>
    <xf numFmtId="0" fontId="44" fillId="0" borderId="0" xfId="0" applyFont="1" applyBorder="1"/>
    <xf numFmtId="0" fontId="44" fillId="0" borderId="56" xfId="0" applyFont="1" applyBorder="1"/>
    <xf numFmtId="2" fontId="44" fillId="3" borderId="17" xfId="0" applyNumberFormat="1" applyFont="1" applyFill="1" applyBorder="1"/>
    <xf numFmtId="2" fontId="44" fillId="3" borderId="12" xfId="0" applyNumberFormat="1" applyFont="1" applyFill="1" applyBorder="1"/>
    <xf numFmtId="2" fontId="44" fillId="3" borderId="41" xfId="0" applyNumberFormat="1" applyFont="1" applyFill="1" applyBorder="1"/>
    <xf numFmtId="0" fontId="44" fillId="4" borderId="2" xfId="0" applyFont="1" applyFill="1" applyBorder="1"/>
    <xf numFmtId="0" fontId="44" fillId="4" borderId="0" xfId="0" applyFont="1" applyFill="1" applyBorder="1"/>
    <xf numFmtId="0" fontId="44" fillId="4" borderId="39" xfId="0" applyFont="1" applyFill="1" applyBorder="1"/>
    <xf numFmtId="2" fontId="15" fillId="10" borderId="19" xfId="0" applyNumberFormat="1" applyFont="1" applyFill="1" applyBorder="1"/>
    <xf numFmtId="2" fontId="15" fillId="10" borderId="62" xfId="0" applyNumberFormat="1" applyFont="1" applyFill="1" applyBorder="1"/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7" fillId="0" borderId="16" xfId="0" applyNumberFormat="1" applyFont="1" applyBorder="1" applyAlignment="1">
      <alignment horizontal="right" vertical="center" wrapText="1"/>
    </xf>
    <xf numFmtId="0" fontId="38" fillId="0" borderId="17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2" fontId="8" fillId="6" borderId="65" xfId="0" applyNumberFormat="1" applyFont="1" applyFill="1" applyBorder="1" applyAlignment="1">
      <alignment horizontal="center" vertical="top" wrapText="1"/>
    </xf>
    <xf numFmtId="0" fontId="49" fillId="0" borderId="63" xfId="0" applyFont="1" applyBorder="1" applyAlignment="1">
      <alignment horizontal="left" vertical="center"/>
    </xf>
    <xf numFmtId="0" fontId="51" fillId="6" borderId="0" xfId="0" applyFont="1" applyFill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2" fillId="6" borderId="0" xfId="0" applyFont="1" applyFill="1" applyBorder="1" applyAlignment="1">
      <alignment horizontal="left" vertical="center"/>
    </xf>
    <xf numFmtId="0" fontId="54" fillId="15" borderId="1" xfId="0" applyFont="1" applyFill="1" applyBorder="1" applyAlignment="1">
      <alignment horizontal="center" vertical="center"/>
    </xf>
    <xf numFmtId="0" fontId="54" fillId="15" borderId="79" xfId="0" applyFont="1" applyFill="1" applyBorder="1" applyAlignment="1">
      <alignment vertical="top" wrapText="1"/>
    </xf>
    <xf numFmtId="0" fontId="54" fillId="15" borderId="31" xfId="0" applyFont="1" applyFill="1" applyBorder="1" applyAlignment="1">
      <alignment vertical="top" wrapText="1"/>
    </xf>
    <xf numFmtId="0" fontId="54" fillId="15" borderId="60" xfId="0" applyFont="1" applyFill="1" applyBorder="1" applyAlignment="1">
      <alignment vertical="top" wrapText="1"/>
    </xf>
    <xf numFmtId="0" fontId="54" fillId="15" borderId="100" xfId="0" applyFont="1" applyFill="1" applyBorder="1" applyAlignment="1">
      <alignment vertical="top" wrapText="1"/>
    </xf>
    <xf numFmtId="0" fontId="8" fillId="20" borderId="19" xfId="0" applyFont="1" applyFill="1" applyBorder="1"/>
    <xf numFmtId="2" fontId="62" fillId="4" borderId="13" xfId="0" applyNumberFormat="1" applyFont="1" applyFill="1" applyBorder="1" applyAlignment="1">
      <alignment horizontal="right"/>
    </xf>
    <xf numFmtId="2" fontId="62" fillId="4" borderId="0" xfId="0" applyNumberFormat="1" applyFont="1" applyFill="1" applyBorder="1" applyAlignment="1">
      <alignment horizontal="right"/>
    </xf>
    <xf numFmtId="2" fontId="63" fillId="4" borderId="0" xfId="0" applyNumberFormat="1" applyFont="1" applyFill="1" applyBorder="1" applyAlignment="1">
      <alignment horizontal="right"/>
    </xf>
    <xf numFmtId="2" fontId="63" fillId="4" borderId="18" xfId="0" applyNumberFormat="1" applyFont="1" applyFill="1" applyBorder="1" applyAlignment="1">
      <alignment horizontal="right"/>
    </xf>
    <xf numFmtId="2" fontId="63" fillId="4" borderId="46" xfId="0" applyNumberFormat="1" applyFont="1" applyFill="1" applyBorder="1" applyAlignment="1">
      <alignment horizontal="right"/>
    </xf>
    <xf numFmtId="2" fontId="64" fillId="4" borderId="0" xfId="0" applyNumberFormat="1" applyFont="1" applyFill="1" applyBorder="1" applyAlignment="1">
      <alignment vertical="top" wrapText="1"/>
    </xf>
    <xf numFmtId="0" fontId="65" fillId="0" borderId="18" xfId="0" applyFont="1" applyBorder="1"/>
    <xf numFmtId="2" fontId="64" fillId="4" borderId="24" xfId="0" applyNumberFormat="1" applyFont="1" applyFill="1" applyBorder="1" applyAlignment="1">
      <alignment vertical="top" wrapText="1"/>
    </xf>
    <xf numFmtId="0" fontId="65" fillId="0" borderId="47" xfId="0" applyFont="1" applyBorder="1"/>
    <xf numFmtId="2" fontId="64" fillId="4" borderId="10" xfId="0" applyNumberFormat="1" applyFont="1" applyFill="1" applyBorder="1" applyAlignment="1">
      <alignment vertical="top" wrapText="1"/>
    </xf>
    <xf numFmtId="2" fontId="64" fillId="4" borderId="15" xfId="0" applyNumberFormat="1" applyFont="1" applyFill="1" applyBorder="1" applyAlignment="1">
      <alignment vertical="top" wrapText="1"/>
    </xf>
    <xf numFmtId="0" fontId="6" fillId="12" borderId="2" xfId="0" applyFont="1" applyFill="1" applyBorder="1"/>
    <xf numFmtId="2" fontId="6" fillId="12" borderId="18" xfId="0" applyNumberFormat="1" applyFont="1" applyFill="1" applyBorder="1"/>
    <xf numFmtId="2" fontId="6" fillId="12" borderId="29" xfId="0" applyNumberFormat="1" applyFont="1" applyFill="1" applyBorder="1"/>
    <xf numFmtId="0" fontId="18" fillId="9" borderId="57" xfId="0" applyFont="1" applyFill="1" applyBorder="1" applyAlignment="1">
      <alignment vertical="center" wrapText="1"/>
    </xf>
    <xf numFmtId="0" fontId="66" fillId="4" borderId="55" xfId="0" applyFont="1" applyFill="1" applyBorder="1" applyAlignment="1">
      <alignment horizontal="center" vertical="top" wrapText="1"/>
    </xf>
    <xf numFmtId="0" fontId="68" fillId="0" borderId="74" xfId="0" applyFont="1" applyFill="1" applyBorder="1" applyAlignment="1">
      <alignment horizontal="center"/>
    </xf>
    <xf numFmtId="0" fontId="68" fillId="0" borderId="63" xfId="0" applyFont="1" applyFill="1" applyBorder="1" applyAlignment="1">
      <alignment horizontal="center"/>
    </xf>
    <xf numFmtId="0" fontId="68" fillId="0" borderId="78" xfId="0" applyFont="1" applyFill="1" applyBorder="1" applyAlignment="1">
      <alignment horizontal="center"/>
    </xf>
    <xf numFmtId="0" fontId="68" fillId="0" borderId="72" xfId="0" applyFont="1" applyFill="1" applyBorder="1" applyAlignment="1">
      <alignment horizontal="center"/>
    </xf>
    <xf numFmtId="0" fontId="70" fillId="0" borderId="82" xfId="0" applyFont="1" applyFill="1" applyBorder="1"/>
    <xf numFmtId="2" fontId="68" fillId="18" borderId="83" xfId="0" applyNumberFormat="1" applyFont="1" applyFill="1" applyBorder="1" applyAlignment="1">
      <alignment horizontal="center" vertical="center" wrapText="1"/>
    </xf>
    <xf numFmtId="164" fontId="68" fillId="0" borderId="84" xfId="0" applyNumberFormat="1" applyFont="1" applyFill="1" applyBorder="1"/>
    <xf numFmtId="2" fontId="68" fillId="19" borderId="84" xfId="0" applyNumberFormat="1" applyFont="1" applyFill="1" applyBorder="1"/>
    <xf numFmtId="0" fontId="70" fillId="0" borderId="85" xfId="0" applyFont="1" applyFill="1" applyBorder="1"/>
    <xf numFmtId="164" fontId="68" fillId="0" borderId="25" xfId="0" applyNumberFormat="1" applyFont="1" applyFill="1" applyBorder="1"/>
    <xf numFmtId="0" fontId="70" fillId="0" borderId="86" xfId="0" applyFont="1" applyFill="1" applyBorder="1"/>
    <xf numFmtId="164" fontId="68" fillId="0" borderId="71" xfId="0" applyNumberFormat="1" applyFont="1" applyFill="1" applyBorder="1"/>
    <xf numFmtId="2" fontId="2" fillId="7" borderId="105" xfId="0" applyNumberFormat="1" applyFont="1" applyFill="1" applyBorder="1" applyAlignment="1">
      <alignment horizontal="center" vertical="top" wrapText="1"/>
    </xf>
    <xf numFmtId="0" fontId="0" fillId="0" borderId="107" xfId="0" applyBorder="1"/>
    <xf numFmtId="0" fontId="0" fillId="0" borderId="45" xfId="0" applyBorder="1"/>
    <xf numFmtId="0" fontId="0" fillId="0" borderId="61" xfId="0" applyBorder="1"/>
    <xf numFmtId="0" fontId="71" fillId="0" borderId="84" xfId="0" applyFont="1" applyBorder="1"/>
    <xf numFmtId="0" fontId="71" fillId="0" borderId="87" xfId="0" applyFont="1" applyBorder="1"/>
    <xf numFmtId="0" fontId="71" fillId="0" borderId="25" xfId="0" applyFont="1" applyBorder="1"/>
    <xf numFmtId="0" fontId="71" fillId="0" borderId="0" xfId="0" applyFont="1"/>
    <xf numFmtId="0" fontId="71" fillId="0" borderId="32" xfId="0" applyFont="1" applyBorder="1"/>
    <xf numFmtId="0" fontId="2" fillId="0" borderId="61" xfId="0" applyFont="1" applyBorder="1" applyAlignment="1">
      <alignment horizontal="righ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right" vertical="center" wrapText="1"/>
    </xf>
    <xf numFmtId="0" fontId="2" fillId="0" borderId="51" xfId="0" applyFont="1" applyFill="1" applyBorder="1" applyAlignment="1">
      <alignment horizontal="right" vertical="center" wrapText="1"/>
    </xf>
    <xf numFmtId="0" fontId="71" fillId="0" borderId="0" xfId="0" applyFont="1" applyFill="1" applyBorder="1"/>
    <xf numFmtId="0" fontId="23" fillId="0" borderId="25" xfId="0" applyFont="1" applyBorder="1"/>
    <xf numFmtId="0" fontId="71" fillId="0" borderId="87" xfId="0" applyFont="1" applyBorder="1" applyAlignment="1">
      <alignment horizontal="center"/>
    </xf>
    <xf numFmtId="0" fontId="42" fillId="0" borderId="84" xfId="0" applyFont="1" applyBorder="1"/>
    <xf numFmtId="0" fontId="42" fillId="0" borderId="25" xfId="0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08" xfId="0" applyFont="1" applyFill="1" applyBorder="1" applyAlignment="1">
      <alignment horizontal="right" vertical="center" wrapText="1"/>
    </xf>
    <xf numFmtId="0" fontId="23" fillId="0" borderId="0" xfId="0" applyFont="1" applyBorder="1"/>
    <xf numFmtId="0" fontId="0" fillId="0" borderId="12" xfId="0" applyBorder="1"/>
    <xf numFmtId="0" fontId="0" fillId="0" borderId="56" xfId="0" applyBorder="1"/>
    <xf numFmtId="0" fontId="71" fillId="0" borderId="12" xfId="0" applyFont="1" applyBorder="1"/>
    <xf numFmtId="0" fontId="71" fillId="0" borderId="0" xfId="0" applyFont="1" applyBorder="1"/>
    <xf numFmtId="0" fontId="71" fillId="0" borderId="56" xfId="0" applyFont="1" applyBorder="1"/>
    <xf numFmtId="0" fontId="23" fillId="0" borderId="12" xfId="0" applyFont="1" applyBorder="1"/>
    <xf numFmtId="0" fontId="71" fillId="0" borderId="56" xfId="0" applyFont="1" applyFill="1" applyBorder="1"/>
    <xf numFmtId="0" fontId="71" fillId="0" borderId="106" xfId="0" applyFont="1" applyBorder="1"/>
    <xf numFmtId="0" fontId="71" fillId="0" borderId="94" xfId="0" applyFont="1" applyBorder="1"/>
    <xf numFmtId="0" fontId="42" fillId="0" borderId="0" xfId="0" applyFont="1" applyBorder="1"/>
    <xf numFmtId="0" fontId="71" fillId="0" borderId="70" xfId="0" applyFont="1" applyBorder="1"/>
    <xf numFmtId="0" fontId="71" fillId="0" borderId="95" xfId="0" applyFont="1" applyBorder="1"/>
    <xf numFmtId="0" fontId="71" fillId="0" borderId="96" xfId="0" applyFont="1" applyBorder="1"/>
    <xf numFmtId="0" fontId="42" fillId="0" borderId="96" xfId="0" applyFont="1" applyBorder="1"/>
    <xf numFmtId="0" fontId="71" fillId="0" borderId="101" xfId="0" applyFont="1" applyBorder="1"/>
    <xf numFmtId="0" fontId="71" fillId="0" borderId="109" xfId="0" applyFont="1" applyBorder="1"/>
    <xf numFmtId="0" fontId="71" fillId="0" borderId="108" xfId="0" applyFont="1" applyBorder="1"/>
    <xf numFmtId="0" fontId="37" fillId="0" borderId="61" xfId="0" applyFont="1" applyBorder="1" applyAlignment="1">
      <alignment horizontal="right" vertical="center" wrapText="1"/>
    </xf>
    <xf numFmtId="0" fontId="8" fillId="17" borderId="17" xfId="0" applyFont="1" applyFill="1" applyBorder="1" applyAlignment="1">
      <alignment horizontal="center" vertical="center"/>
    </xf>
    <xf numFmtId="0" fontId="8" fillId="17" borderId="55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61" xfId="0" applyFont="1" applyBorder="1" applyAlignment="1">
      <alignment horizontal="right" vertical="center" wrapText="1"/>
    </xf>
    <xf numFmtId="0" fontId="1" fillId="0" borderId="89" xfId="0" applyFont="1" applyBorder="1" applyAlignment="1">
      <alignment horizontal="right" vertical="center" wrapText="1"/>
    </xf>
    <xf numFmtId="0" fontId="29" fillId="0" borderId="0" xfId="0" applyFont="1" applyAlignment="1"/>
    <xf numFmtId="0" fontId="1" fillId="0" borderId="18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2" fontId="2" fillId="0" borderId="91" xfId="0" applyNumberFormat="1" applyFont="1" applyFill="1" applyBorder="1" applyAlignment="1">
      <alignment horizontal="center" vertical="top" wrapText="1"/>
    </xf>
    <xf numFmtId="2" fontId="2" fillId="0" borderId="104" xfId="0" applyNumberFormat="1" applyFont="1" applyFill="1" applyBorder="1" applyAlignment="1">
      <alignment horizontal="center" vertical="top" wrapText="1"/>
    </xf>
    <xf numFmtId="2" fontId="2" fillId="0" borderId="55" xfId="0" applyNumberFormat="1" applyFont="1" applyFill="1" applyBorder="1" applyAlignment="1">
      <alignment horizontal="center" vertical="top" wrapText="1"/>
    </xf>
    <xf numFmtId="2" fontId="2" fillId="0" borderId="29" xfId="0" applyNumberFormat="1" applyFont="1" applyFill="1" applyBorder="1" applyAlignment="1">
      <alignment horizontal="center" vertical="top" wrapText="1"/>
    </xf>
    <xf numFmtId="2" fontId="2" fillId="0" borderId="105" xfId="0" applyNumberFormat="1" applyFont="1" applyFill="1" applyBorder="1" applyAlignment="1">
      <alignment horizontal="center" vertical="top" wrapText="1"/>
    </xf>
    <xf numFmtId="0" fontId="4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/>
    </xf>
    <xf numFmtId="0" fontId="0" fillId="6" borderId="0" xfId="0" applyFill="1"/>
    <xf numFmtId="2" fontId="44" fillId="0" borderId="56" xfId="0" applyNumberFormat="1" applyFont="1" applyBorder="1"/>
    <xf numFmtId="2" fontId="44" fillId="0" borderId="0" xfId="0" applyNumberFormat="1" applyFont="1" applyBorder="1"/>
    <xf numFmtId="0" fontId="8" fillId="0" borderId="0" xfId="0" applyFont="1" applyBorder="1"/>
    <xf numFmtId="2" fontId="68" fillId="0" borderId="84" xfId="0" applyNumberFormat="1" applyFont="1" applyFill="1" applyBorder="1"/>
    <xf numFmtId="0" fontId="1" fillId="6" borderId="65" xfId="0" applyFont="1" applyFill="1" applyBorder="1"/>
    <xf numFmtId="0" fontId="8" fillId="17" borderId="34" xfId="0" applyFont="1" applyFill="1" applyBorder="1" applyAlignment="1">
      <alignment horizontal="center" vertical="center"/>
    </xf>
    <xf numFmtId="0" fontId="1" fillId="17" borderId="8" xfId="0" applyFont="1" applyFill="1" applyBorder="1"/>
    <xf numFmtId="2" fontId="33" fillId="16" borderId="29" xfId="0" applyNumberFormat="1" applyFont="1" applyFill="1" applyBorder="1"/>
    <xf numFmtId="0" fontId="76" fillId="0" borderId="84" xfId="0" applyFont="1" applyBorder="1"/>
    <xf numFmtId="0" fontId="76" fillId="0" borderId="87" xfId="0" applyFont="1" applyBorder="1"/>
    <xf numFmtId="0" fontId="76" fillId="0" borderId="108" xfId="0" applyFont="1" applyBorder="1"/>
    <xf numFmtId="0" fontId="76" fillId="0" borderId="25" xfId="0" applyFont="1" applyBorder="1"/>
    <xf numFmtId="0" fontId="76" fillId="0" borderId="94" xfId="0" applyFont="1" applyBorder="1"/>
    <xf numFmtId="0" fontId="76" fillId="0" borderId="32" xfId="0" applyFont="1" applyBorder="1"/>
    <xf numFmtId="0" fontId="76" fillId="0" borderId="96" xfId="0" applyFont="1" applyBorder="1"/>
    <xf numFmtId="2" fontId="2" fillId="7" borderId="90" xfId="0" applyNumberFormat="1" applyFont="1" applyFill="1" applyBorder="1" applyAlignment="1">
      <alignment horizontal="center" vertical="top" wrapText="1"/>
    </xf>
    <xf numFmtId="2" fontId="2" fillId="7" borderId="111" xfId="0" applyNumberFormat="1" applyFont="1" applyFill="1" applyBorder="1" applyAlignment="1">
      <alignment horizontal="center" vertical="top" wrapText="1"/>
    </xf>
    <xf numFmtId="2" fontId="2" fillId="7" borderId="3" xfId="0" applyNumberFormat="1" applyFont="1" applyFill="1" applyBorder="1" applyAlignment="1">
      <alignment horizontal="center" vertical="top" wrapText="1"/>
    </xf>
    <xf numFmtId="2" fontId="2" fillId="7" borderId="6" xfId="0" applyNumberFormat="1" applyFont="1" applyFill="1" applyBorder="1" applyAlignment="1">
      <alignment horizontal="center" vertical="top" wrapText="1"/>
    </xf>
    <xf numFmtId="2" fontId="44" fillId="0" borderId="29" xfId="0" applyNumberFormat="1" applyFont="1" applyBorder="1"/>
    <xf numFmtId="2" fontId="42" fillId="0" borderId="1" xfId="0" applyNumberFormat="1" applyFont="1" applyBorder="1"/>
    <xf numFmtId="2" fontId="8" fillId="20" borderId="19" xfId="0" applyNumberFormat="1" applyFont="1" applyFill="1" applyBorder="1"/>
    <xf numFmtId="2" fontId="1" fillId="0" borderId="29" xfId="0" applyNumberFormat="1" applyFont="1" applyBorder="1" applyAlignment="1">
      <alignment horizontal="right" vertical="center" wrapText="1"/>
    </xf>
    <xf numFmtId="2" fontId="44" fillId="0" borderId="39" xfId="0" applyNumberFormat="1" applyFont="1" applyBorder="1"/>
    <xf numFmtId="2" fontId="44" fillId="0" borderId="61" xfId="0" applyNumberFormat="1" applyFont="1" applyBorder="1"/>
    <xf numFmtId="0" fontId="68" fillId="0" borderId="64" xfId="0" applyFont="1" applyFill="1" applyBorder="1" applyAlignment="1">
      <alignment horizontal="center"/>
    </xf>
    <xf numFmtId="0" fontId="68" fillId="0" borderId="73" xfId="0" applyFont="1" applyFill="1" applyBorder="1" applyAlignment="1">
      <alignment horizontal="center"/>
    </xf>
    <xf numFmtId="2" fontId="74" fillId="19" borderId="112" xfId="0" applyNumberFormat="1" applyFont="1" applyFill="1" applyBorder="1"/>
    <xf numFmtId="2" fontId="68" fillId="18" borderId="113" xfId="0" applyNumberFormat="1" applyFont="1" applyFill="1" applyBorder="1" applyAlignment="1">
      <alignment horizontal="center" vertical="center" wrapText="1"/>
    </xf>
    <xf numFmtId="2" fontId="68" fillId="0" borderId="114" xfId="0" applyNumberFormat="1" applyFont="1" applyFill="1" applyBorder="1"/>
    <xf numFmtId="2" fontId="74" fillId="19" borderId="115" xfId="0" applyNumberFormat="1" applyFont="1" applyFill="1" applyBorder="1"/>
    <xf numFmtId="0" fontId="44" fillId="0" borderId="39" xfId="0" applyFont="1" applyBorder="1"/>
    <xf numFmtId="0" fontId="8" fillId="20" borderId="1" xfId="0" applyFont="1" applyFill="1" applyBorder="1"/>
    <xf numFmtId="0" fontId="0" fillId="0" borderId="17" xfId="0" applyBorder="1"/>
    <xf numFmtId="2" fontId="26" fillId="5" borderId="1" xfId="0" applyNumberFormat="1" applyFont="1" applyFill="1" applyBorder="1" applyAlignment="1">
      <alignment horizontal="right"/>
    </xf>
    <xf numFmtId="2" fontId="18" fillId="3" borderId="76" xfId="0" applyNumberFormat="1" applyFont="1" applyFill="1" applyBorder="1" applyAlignment="1">
      <alignment vertical="top" wrapText="1"/>
    </xf>
    <xf numFmtId="2" fontId="6" fillId="8" borderId="1" xfId="0" applyNumberFormat="1" applyFont="1" applyFill="1" applyBorder="1"/>
    <xf numFmtId="0" fontId="44" fillId="3" borderId="2" xfId="0" applyFont="1" applyFill="1" applyBorder="1"/>
    <xf numFmtId="0" fontId="5" fillId="2" borderId="12" xfId="0" applyFont="1" applyFill="1" applyBorder="1" applyAlignment="1">
      <alignment vertical="top" wrapText="1"/>
    </xf>
    <xf numFmtId="0" fontId="6" fillId="2" borderId="56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vertical="top" wrapText="1"/>
    </xf>
    <xf numFmtId="0" fontId="10" fillId="2" borderId="12" xfId="0" applyFont="1" applyFill="1" applyBorder="1"/>
    <xf numFmtId="0" fontId="11" fillId="2" borderId="56" xfId="0" applyFont="1" applyFill="1" applyBorder="1"/>
    <xf numFmtId="0" fontId="5" fillId="2" borderId="41" xfId="0" applyFont="1" applyFill="1" applyBorder="1" applyAlignment="1">
      <alignment vertical="top" wrapText="1"/>
    </xf>
    <xf numFmtId="0" fontId="6" fillId="2" borderId="61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left"/>
    </xf>
    <xf numFmtId="2" fontId="2" fillId="7" borderId="17" xfId="0" applyNumberFormat="1" applyFont="1" applyFill="1" applyBorder="1" applyAlignment="1">
      <alignment horizontal="center" vertical="top" wrapText="1"/>
    </xf>
    <xf numFmtId="2" fontId="2" fillId="0" borderId="17" xfId="0" applyNumberFormat="1" applyFont="1" applyFill="1" applyBorder="1" applyAlignment="1">
      <alignment horizontal="center" vertical="top" wrapText="1"/>
    </xf>
    <xf numFmtId="2" fontId="44" fillId="0" borderId="1" xfId="0" applyNumberFormat="1" applyFont="1" applyBorder="1"/>
    <xf numFmtId="0" fontId="34" fillId="0" borderId="18" xfId="0" applyFont="1" applyBorder="1"/>
    <xf numFmtId="0" fontId="34" fillId="0" borderId="13" xfId="0" applyFont="1" applyBorder="1"/>
    <xf numFmtId="0" fontId="34" fillId="0" borderId="13" xfId="0" applyFont="1" applyFill="1" applyBorder="1"/>
    <xf numFmtId="2" fontId="1" fillId="0" borderId="13" xfId="0" applyNumberFormat="1" applyFont="1" applyBorder="1" applyAlignment="1">
      <alignment horizontal="right" vertical="center" wrapText="1"/>
    </xf>
    <xf numFmtId="2" fontId="42" fillId="0" borderId="7" xfId="0" applyNumberFormat="1" applyFont="1" applyBorder="1"/>
    <xf numFmtId="0" fontId="10" fillId="2" borderId="12" xfId="0" applyFont="1" applyFill="1" applyBorder="1" applyAlignment="1"/>
    <xf numFmtId="0" fontId="11" fillId="2" borderId="56" xfId="0" applyFont="1" applyFill="1" applyBorder="1" applyAlignment="1"/>
    <xf numFmtId="0" fontId="43" fillId="2" borderId="12" xfId="0" applyFont="1" applyFill="1" applyBorder="1" applyAlignment="1"/>
    <xf numFmtId="0" fontId="6" fillId="2" borderId="56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20" fillId="2" borderId="12" xfId="0" applyFont="1" applyFill="1" applyBorder="1" applyAlignment="1">
      <alignment wrapText="1"/>
    </xf>
    <xf numFmtId="0" fontId="20" fillId="2" borderId="56" xfId="0" applyFont="1" applyFill="1" applyBorder="1" applyAlignment="1">
      <alignment wrapText="1"/>
    </xf>
    <xf numFmtId="0" fontId="43" fillId="2" borderId="56" xfId="0" applyFont="1" applyFill="1" applyBorder="1" applyAlignment="1"/>
    <xf numFmtId="0" fontId="5" fillId="2" borderId="41" xfId="0" applyFont="1" applyFill="1" applyBorder="1" applyAlignment="1">
      <alignment wrapText="1"/>
    </xf>
    <xf numFmtId="0" fontId="6" fillId="2" borderId="61" xfId="0" applyFont="1" applyFill="1" applyBorder="1" applyAlignment="1">
      <alignment wrapText="1"/>
    </xf>
    <xf numFmtId="165" fontId="9" fillId="5" borderId="29" xfId="0" applyNumberFormat="1" applyFont="1" applyFill="1" applyBorder="1" applyAlignment="1">
      <alignment horizontal="right" vertical="center" wrapText="1"/>
    </xf>
    <xf numFmtId="165" fontId="42" fillId="5" borderId="29" xfId="0" applyNumberFormat="1" applyFont="1" applyFill="1" applyBorder="1"/>
    <xf numFmtId="165" fontId="9" fillId="5" borderId="7" xfId="0" applyNumberFormat="1" applyFont="1" applyFill="1" applyBorder="1" applyAlignment="1">
      <alignment horizontal="right" vertical="center" wrapText="1"/>
    </xf>
    <xf numFmtId="165" fontId="0" fillId="5" borderId="0" xfId="0" applyNumberFormat="1" applyFill="1"/>
    <xf numFmtId="165" fontId="0" fillId="5" borderId="0" xfId="0" applyNumberFormat="1" applyFill="1" applyBorder="1"/>
    <xf numFmtId="0" fontId="0" fillId="5" borderId="0" xfId="0" applyFill="1"/>
    <xf numFmtId="165" fontId="42" fillId="5" borderId="34" xfId="0" applyNumberFormat="1" applyFont="1" applyFill="1" applyBorder="1"/>
    <xf numFmtId="165" fontId="9" fillId="5" borderId="0" xfId="0" applyNumberFormat="1" applyFont="1" applyFill="1" applyBorder="1" applyAlignment="1">
      <alignment horizontal="right" vertical="center" wrapText="1"/>
    </xf>
    <xf numFmtId="165" fontId="42" fillId="5" borderId="0" xfId="0" applyNumberFormat="1" applyFont="1" applyFill="1" applyBorder="1"/>
    <xf numFmtId="0" fontId="80" fillId="0" borderId="34" xfId="0" applyFont="1" applyBorder="1" applyAlignment="1">
      <alignment horizontal="justify" vertical="center" wrapText="1"/>
    </xf>
    <xf numFmtId="0" fontId="80" fillId="0" borderId="56" xfId="0" applyFont="1" applyBorder="1" applyAlignment="1">
      <alignment horizontal="justify" vertical="center" wrapText="1"/>
    </xf>
    <xf numFmtId="0" fontId="81" fillId="0" borderId="56" xfId="0" applyFont="1" applyBorder="1"/>
    <xf numFmtId="0" fontId="80" fillId="0" borderId="61" xfId="0" applyFont="1" applyBorder="1" applyAlignment="1">
      <alignment horizontal="justify" vertical="center" wrapText="1"/>
    </xf>
    <xf numFmtId="0" fontId="0" fillId="21" borderId="0" xfId="0" applyFill="1"/>
    <xf numFmtId="0" fontId="1" fillId="21" borderId="0" xfId="0" applyFont="1" applyFill="1"/>
    <xf numFmtId="0" fontId="1" fillId="21" borderId="0" xfId="0" applyFont="1" applyFill="1" applyBorder="1" applyAlignment="1">
      <alignment horizontal="right" vertical="top" wrapText="1"/>
    </xf>
    <xf numFmtId="0" fontId="8" fillId="21" borderId="0" xfId="0" applyFont="1" applyFill="1" applyBorder="1" applyAlignment="1">
      <alignment horizontal="center" vertical="top" wrapText="1"/>
    </xf>
    <xf numFmtId="0" fontId="1" fillId="21" borderId="0" xfId="0" applyFont="1" applyFill="1" applyBorder="1"/>
    <xf numFmtId="0" fontId="29" fillId="21" borderId="0" xfId="0" applyFont="1" applyFill="1"/>
    <xf numFmtId="0" fontId="29" fillId="21" borderId="0" xfId="0" applyFont="1" applyFill="1" applyBorder="1"/>
    <xf numFmtId="0" fontId="82" fillId="6" borderId="63" xfId="0" applyFont="1" applyFill="1" applyBorder="1"/>
    <xf numFmtId="165" fontId="68" fillId="0" borderId="84" xfId="0" applyNumberFormat="1" applyFont="1" applyFill="1" applyBorder="1"/>
    <xf numFmtId="0" fontId="82" fillId="14" borderId="6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0" fillId="0" borderId="34" xfId="0" applyBorder="1"/>
    <xf numFmtId="0" fontId="15" fillId="0" borderId="1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vertical="center" wrapText="1"/>
    </xf>
    <xf numFmtId="2" fontId="2" fillId="0" borderId="41" xfId="0" applyNumberFormat="1" applyFont="1" applyFill="1" applyBorder="1" applyAlignment="1">
      <alignment vertical="center" wrapText="1"/>
    </xf>
    <xf numFmtId="0" fontId="29" fillId="5" borderId="0" xfId="0" applyFont="1" applyFill="1" applyBorder="1"/>
    <xf numFmtId="0" fontId="29" fillId="5" borderId="0" xfId="0" applyFont="1" applyFill="1"/>
    <xf numFmtId="0" fontId="1" fillId="5" borderId="0" xfId="0" applyFont="1" applyFill="1"/>
    <xf numFmtId="0" fontId="0" fillId="5" borderId="46" xfId="0" applyFill="1" applyBorder="1"/>
    <xf numFmtId="0" fontId="35" fillId="14" borderId="0" xfId="0" applyFont="1" applyFill="1" applyBorder="1" applyAlignment="1">
      <alignment horizontal="left" readingOrder="1"/>
    </xf>
    <xf numFmtId="0" fontId="35" fillId="5" borderId="0" xfId="0" applyFont="1" applyFill="1" applyBorder="1" applyAlignment="1">
      <alignment horizontal="left" readingOrder="1"/>
    </xf>
    <xf numFmtId="0" fontId="1" fillId="5" borderId="0" xfId="0" applyFont="1" applyFill="1" applyBorder="1" applyAlignment="1">
      <alignment horizontal="right" vertical="top" wrapText="1"/>
    </xf>
    <xf numFmtId="0" fontId="8" fillId="14" borderId="0" xfId="0" applyFont="1" applyFill="1" applyBorder="1" applyAlignment="1">
      <alignment horizontal="center"/>
    </xf>
    <xf numFmtId="0" fontId="82" fillId="14" borderId="0" xfId="0" applyFont="1" applyFill="1" applyBorder="1" applyAlignment="1">
      <alignment horizontal="center" vertical="center"/>
    </xf>
    <xf numFmtId="0" fontId="82" fillId="6" borderId="0" xfId="0" applyFont="1" applyFill="1" applyBorder="1"/>
    <xf numFmtId="0" fontId="71" fillId="0" borderId="55" xfId="0" applyFont="1" applyBorder="1"/>
    <xf numFmtId="0" fontId="71" fillId="0" borderId="39" xfId="0" applyFont="1" applyBorder="1"/>
    <xf numFmtId="0" fontId="8" fillId="0" borderId="34" xfId="0" applyFont="1" applyFill="1" applyBorder="1" applyAlignment="1">
      <alignment vertical="center"/>
    </xf>
    <xf numFmtId="0" fontId="0" fillId="0" borderId="0" xfId="0" applyFont="1"/>
    <xf numFmtId="0" fontId="8" fillId="0" borderId="61" xfId="0" applyFont="1" applyFill="1" applyBorder="1" applyAlignment="1">
      <alignment vertical="center"/>
    </xf>
    <xf numFmtId="0" fontId="44" fillId="0" borderId="0" xfId="0" applyFont="1"/>
    <xf numFmtId="0" fontId="85" fillId="5" borderId="0" xfId="0" applyFont="1" applyFill="1"/>
    <xf numFmtId="0" fontId="29" fillId="23" borderId="0" xfId="0" applyFont="1" applyFill="1" applyBorder="1"/>
    <xf numFmtId="0" fontId="0" fillId="23" borderId="0" xfId="0" applyFill="1"/>
    <xf numFmtId="0" fontId="1" fillId="23" borderId="0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vertical="center"/>
    </xf>
    <xf numFmtId="0" fontId="71" fillId="0" borderId="117" xfId="0" applyFont="1" applyBorder="1"/>
    <xf numFmtId="0" fontId="76" fillId="0" borderId="117" xfId="0" applyFont="1" applyBorder="1"/>
    <xf numFmtId="0" fontId="0" fillId="0" borderId="47" xfId="0" applyBorder="1"/>
    <xf numFmtId="0" fontId="71" fillId="0" borderId="92" xfId="0" applyFont="1" applyBorder="1"/>
    <xf numFmtId="0" fontId="76" fillId="0" borderId="92" xfId="0" applyFont="1" applyBorder="1"/>
    <xf numFmtId="0" fontId="76" fillId="0" borderId="118" xfId="0" applyFont="1" applyBorder="1"/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13" xfId="0" applyBorder="1"/>
    <xf numFmtId="0" fontId="71" fillId="0" borderId="50" xfId="0" applyFont="1" applyBorder="1"/>
    <xf numFmtId="0" fontId="76" fillId="0" borderId="50" xfId="0" applyFont="1" applyBorder="1"/>
    <xf numFmtId="0" fontId="71" fillId="0" borderId="44" xfId="0" applyFont="1" applyBorder="1"/>
    <xf numFmtId="0" fontId="76" fillId="0" borderId="44" xfId="0" applyFont="1" applyBorder="1"/>
    <xf numFmtId="0" fontId="76" fillId="0" borderId="119" xfId="0" applyFont="1" applyBorder="1"/>
    <xf numFmtId="0" fontId="8" fillId="0" borderId="0" xfId="0" applyFont="1" applyBorder="1" applyAlignment="1">
      <alignment horizontal="justify" vertical="center" wrapText="1"/>
    </xf>
    <xf numFmtId="0" fontId="32" fillId="0" borderId="0" xfId="0" applyFont="1" applyBorder="1" applyAlignment="1">
      <alignment horizontal="justify" vertical="center" wrapText="1"/>
    </xf>
    <xf numFmtId="0" fontId="32" fillId="0" borderId="0" xfId="0" applyFont="1" applyBorder="1" applyAlignment="1">
      <alignment vertical="center" wrapText="1"/>
    </xf>
    <xf numFmtId="0" fontId="86" fillId="0" borderId="0" xfId="0" applyFont="1" applyFill="1" applyBorder="1" applyAlignment="1">
      <alignment horizontal="left" vertical="center"/>
    </xf>
    <xf numFmtId="0" fontId="35" fillId="6" borderId="116" xfId="0" applyFont="1" applyFill="1" applyBorder="1"/>
    <xf numFmtId="0" fontId="35" fillId="6" borderId="75" xfId="0" applyFont="1" applyFill="1" applyBorder="1"/>
    <xf numFmtId="0" fontId="45" fillId="0" borderId="0" xfId="0" applyFont="1"/>
    <xf numFmtId="0" fontId="7" fillId="0" borderId="0" xfId="0" applyFont="1" applyBorder="1"/>
    <xf numFmtId="0" fontId="45" fillId="0" borderId="0" xfId="0" applyFont="1" applyFill="1" applyBorder="1"/>
    <xf numFmtId="0" fontId="4" fillId="0" borderId="0" xfId="0" applyFont="1" applyBorder="1"/>
    <xf numFmtId="0" fontId="12" fillId="7" borderId="39" xfId="0" applyFont="1" applyFill="1" applyBorder="1" applyAlignment="1">
      <alignment horizontal="left" vertical="top" wrapText="1"/>
    </xf>
    <xf numFmtId="0" fontId="0" fillId="0" borderId="46" xfId="0" applyBorder="1"/>
    <xf numFmtId="0" fontId="12" fillId="7" borderId="120" xfId="0" applyFont="1" applyFill="1" applyBorder="1" applyAlignment="1">
      <alignment horizontal="left" vertical="top" wrapText="1"/>
    </xf>
    <xf numFmtId="0" fontId="1" fillId="0" borderId="0" xfId="0" applyFont="1" applyBorder="1" applyProtection="1">
      <protection locked="0"/>
    </xf>
    <xf numFmtId="2" fontId="5" fillId="2" borderId="0" xfId="0" applyNumberFormat="1" applyFont="1" applyFill="1" applyBorder="1" applyAlignment="1">
      <alignment vertical="top" wrapText="1"/>
    </xf>
    <xf numFmtId="0" fontId="4" fillId="0" borderId="0" xfId="0" applyFont="1" applyBorder="1" applyProtection="1"/>
    <xf numFmtId="2" fontId="8" fillId="17" borderId="1" xfId="0" applyNumberFormat="1" applyFont="1" applyFill="1" applyBorder="1" applyAlignment="1">
      <alignment horizontal="left"/>
    </xf>
    <xf numFmtId="2" fontId="8" fillId="17" borderId="2" xfId="0" applyNumberFormat="1" applyFont="1" applyFill="1" applyBorder="1" applyAlignment="1">
      <alignment horizontal="left"/>
    </xf>
    <xf numFmtId="2" fontId="52" fillId="2" borderId="12" xfId="0" applyNumberFormat="1" applyFont="1" applyFill="1" applyBorder="1"/>
    <xf numFmtId="2" fontId="61" fillId="16" borderId="1" xfId="0" applyNumberFormat="1" applyFont="1" applyFill="1" applyBorder="1" applyAlignment="1">
      <alignment vertical="center"/>
    </xf>
    <xf numFmtId="0" fontId="54" fillId="2" borderId="1" xfId="0" applyFont="1" applyFill="1" applyBorder="1" applyAlignment="1">
      <alignment horizontal="center" vertical="center" wrapText="1"/>
    </xf>
    <xf numFmtId="0" fontId="52" fillId="2" borderId="12" xfId="0" applyFont="1" applyFill="1" applyBorder="1" applyAlignment="1">
      <alignment horizontal="center" vertical="center"/>
    </xf>
    <xf numFmtId="0" fontId="52" fillId="2" borderId="12" xfId="0" applyFont="1" applyFill="1" applyBorder="1"/>
    <xf numFmtId="0" fontId="1" fillId="0" borderId="113" xfId="0" applyFont="1" applyBorder="1"/>
    <xf numFmtId="0" fontId="1" fillId="6" borderId="85" xfId="0" applyFont="1" applyFill="1" applyBorder="1"/>
    <xf numFmtId="0" fontId="1" fillId="6" borderId="86" xfId="0" applyFont="1" applyFill="1" applyBorder="1"/>
    <xf numFmtId="2" fontId="61" fillId="23" borderId="69" xfId="0" applyNumberFormat="1" applyFont="1" applyFill="1" applyBorder="1" applyAlignment="1">
      <alignment vertical="center"/>
    </xf>
    <xf numFmtId="0" fontId="52" fillId="23" borderId="80" xfId="0" applyFont="1" applyFill="1" applyBorder="1"/>
    <xf numFmtId="0" fontId="52" fillId="23" borderId="49" xfId="0" applyFont="1" applyFill="1" applyBorder="1"/>
    <xf numFmtId="0" fontId="52" fillId="23" borderId="110" xfId="0" applyFont="1" applyFill="1" applyBorder="1"/>
    <xf numFmtId="0" fontId="54" fillId="5" borderId="2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 applyProtection="1">
      <alignment horizontal="center"/>
      <protection locked="0"/>
    </xf>
    <xf numFmtId="0" fontId="8" fillId="14" borderId="82" xfId="0" applyFont="1" applyFill="1" applyBorder="1" applyAlignment="1">
      <alignment horizontal="center"/>
    </xf>
    <xf numFmtId="0" fontId="8" fillId="14" borderId="85" xfId="0" applyFont="1" applyFill="1" applyBorder="1" applyAlignment="1">
      <alignment horizontal="center"/>
    </xf>
    <xf numFmtId="0" fontId="54" fillId="5" borderId="29" xfId="0" applyFont="1" applyFill="1" applyBorder="1" applyAlignment="1" applyProtection="1">
      <alignment horizontal="center"/>
      <protection locked="0"/>
    </xf>
    <xf numFmtId="0" fontId="0" fillId="5" borderId="17" xfId="0" applyFill="1" applyBorder="1"/>
    <xf numFmtId="0" fontId="0" fillId="5" borderId="55" xfId="0" applyFill="1" applyBorder="1"/>
    <xf numFmtId="0" fontId="0" fillId="5" borderId="34" xfId="0" applyFill="1" applyBorder="1"/>
    <xf numFmtId="0" fontId="0" fillId="5" borderId="41" xfId="0" applyFill="1" applyBorder="1"/>
    <xf numFmtId="0" fontId="0" fillId="5" borderId="39" xfId="0" applyFill="1" applyBorder="1"/>
    <xf numFmtId="0" fontId="0" fillId="5" borderId="61" xfId="0" applyFill="1" applyBorder="1"/>
    <xf numFmtId="2" fontId="6" fillId="2" borderId="0" xfId="0" applyNumberFormat="1" applyFont="1" applyFill="1" applyBorder="1" applyAlignment="1">
      <alignment horizontal="center" vertical="top" wrapText="1"/>
    </xf>
    <xf numFmtId="2" fontId="2" fillId="0" borderId="8" xfId="0" applyNumberFormat="1" applyFont="1" applyBorder="1"/>
    <xf numFmtId="2" fontId="2" fillId="0" borderId="29" xfId="0" applyNumberFormat="1" applyFont="1" applyBorder="1"/>
    <xf numFmtId="0" fontId="35" fillId="14" borderId="42" xfId="0" applyFont="1" applyFill="1" applyBorder="1" applyAlignment="1">
      <alignment horizontal="left" readingOrder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0" fontId="8" fillId="20" borderId="35" xfId="0" applyFont="1" applyFill="1" applyBorder="1"/>
    <xf numFmtId="2" fontId="25" fillId="5" borderId="8" xfId="0" applyNumberFormat="1" applyFont="1" applyFill="1" applyBorder="1" applyAlignment="1">
      <alignment horizontal="right" vertical="top" wrapText="1"/>
    </xf>
    <xf numFmtId="2" fontId="62" fillId="4" borderId="56" xfId="0" applyNumberFormat="1" applyFont="1" applyFill="1" applyBorder="1" applyAlignment="1">
      <alignment horizontal="right"/>
    </xf>
    <xf numFmtId="2" fontId="2" fillId="3" borderId="34" xfId="0" applyNumberFormat="1" applyFont="1" applyFill="1" applyBorder="1" applyAlignment="1">
      <alignment vertical="top" wrapText="1"/>
    </xf>
    <xf numFmtId="0" fontId="21" fillId="0" borderId="29" xfId="0" applyFont="1" applyBorder="1" applyAlignment="1">
      <alignment vertical="center" wrapText="1"/>
    </xf>
    <xf numFmtId="0" fontId="0" fillId="0" borderId="7" xfId="0" applyBorder="1" applyAlignment="1">
      <alignment vertical="top"/>
    </xf>
    <xf numFmtId="0" fontId="4" fillId="0" borderId="18" xfId="0" applyFont="1" applyBorder="1" applyAlignment="1">
      <alignment vertical="center"/>
    </xf>
    <xf numFmtId="0" fontId="0" fillId="0" borderId="13" xfId="0" applyBorder="1" applyAlignment="1"/>
    <xf numFmtId="0" fontId="0" fillId="0" borderId="7" xfId="0" applyBorder="1" applyAlignment="1"/>
    <xf numFmtId="0" fontId="4" fillId="0" borderId="29" xfId="0" applyFont="1" applyBorder="1" applyAlignment="1">
      <alignment horizontal="center" vertical="top"/>
    </xf>
    <xf numFmtId="2" fontId="8" fillId="0" borderId="13" xfId="0" applyNumberFormat="1" applyFont="1" applyBorder="1" applyAlignment="1">
      <alignment horizontal="center"/>
    </xf>
    <xf numFmtId="0" fontId="12" fillId="7" borderId="29" xfId="0" applyFont="1" applyFill="1" applyBorder="1" applyAlignment="1">
      <alignment horizontal="left" vertical="center" wrapText="1"/>
    </xf>
    <xf numFmtId="0" fontId="8" fillId="0" borderId="119" xfId="0" applyFont="1" applyBorder="1" applyAlignment="1">
      <alignment horizontal="center"/>
    </xf>
    <xf numFmtId="0" fontId="1" fillId="23" borderId="0" xfId="0" applyFont="1" applyFill="1"/>
    <xf numFmtId="0" fontId="89" fillId="5" borderId="1" xfId="0" applyFont="1" applyFill="1" applyBorder="1"/>
    <xf numFmtId="0" fontId="35" fillId="5" borderId="0" xfId="0" applyFont="1" applyFill="1" applyAlignment="1">
      <alignment horizontal="left" readingOrder="1"/>
    </xf>
    <xf numFmtId="2" fontId="1" fillId="0" borderId="2" xfId="0" applyNumberFormat="1" applyFont="1" applyBorder="1" applyAlignment="1">
      <alignment horizontal="right" vertical="center" wrapText="1"/>
    </xf>
    <xf numFmtId="2" fontId="7" fillId="6" borderId="87" xfId="0" applyNumberFormat="1" applyFont="1" applyFill="1" applyBorder="1" applyAlignment="1">
      <alignment horizontal="right" vertical="top" wrapText="1"/>
    </xf>
    <xf numFmtId="0" fontId="0" fillId="0" borderId="32" xfId="0" applyBorder="1"/>
    <xf numFmtId="2" fontId="2" fillId="7" borderId="5" xfId="0" applyNumberFormat="1" applyFont="1" applyFill="1" applyBorder="1" applyAlignment="1">
      <alignment horizontal="center" vertical="top" wrapText="1"/>
    </xf>
    <xf numFmtId="2" fontId="2" fillId="7" borderId="104" xfId="0" applyNumberFormat="1" applyFont="1" applyFill="1" applyBorder="1" applyAlignment="1">
      <alignment horizontal="center" vertical="top" wrapText="1"/>
    </xf>
    <xf numFmtId="2" fontId="7" fillId="0" borderId="55" xfId="0" applyNumberFormat="1" applyFont="1" applyFill="1" applyBorder="1" applyAlignment="1">
      <alignment horizontal="center" vertical="top" wrapText="1"/>
    </xf>
    <xf numFmtId="2" fontId="7" fillId="6" borderId="8" xfId="0" applyNumberFormat="1" applyFont="1" applyFill="1" applyBorder="1" applyAlignment="1">
      <alignment horizontal="right" vertical="top" wrapText="1"/>
    </xf>
    <xf numFmtId="2" fontId="7" fillId="6" borderId="117" xfId="0" applyNumberFormat="1" applyFont="1" applyFill="1" applyBorder="1" applyAlignment="1">
      <alignment horizontal="right" vertical="top" wrapText="1"/>
    </xf>
    <xf numFmtId="0" fontId="0" fillId="0" borderId="92" xfId="0" applyBorder="1"/>
    <xf numFmtId="2" fontId="2" fillId="7" borderId="97" xfId="0" applyNumberFormat="1" applyFont="1" applyFill="1" applyBorder="1" applyAlignment="1">
      <alignment horizontal="center" vertical="top" wrapText="1"/>
    </xf>
    <xf numFmtId="0" fontId="0" fillId="0" borderId="18" xfId="0" applyBorder="1"/>
    <xf numFmtId="0" fontId="0" fillId="0" borderId="7" xfId="0" applyBorder="1"/>
    <xf numFmtId="0" fontId="0" fillId="0" borderId="62" xfId="0" applyBorder="1"/>
    <xf numFmtId="2" fontId="6" fillId="8" borderId="7" xfId="0" applyNumberFormat="1" applyFont="1" applyFill="1" applyBorder="1"/>
    <xf numFmtId="2" fontId="6" fillId="8" borderId="39" xfId="0" applyNumberFormat="1" applyFont="1" applyFill="1" applyBorder="1"/>
    <xf numFmtId="2" fontId="6" fillId="8" borderId="130" xfId="0" applyNumberFormat="1" applyFont="1" applyFill="1" applyBorder="1"/>
    <xf numFmtId="2" fontId="6" fillId="8" borderId="41" xfId="0" applyNumberFormat="1" applyFont="1" applyFill="1" applyBorder="1"/>
    <xf numFmtId="0" fontId="73" fillId="0" borderId="3" xfId="0" applyFont="1" applyBorder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vertical="top"/>
    </xf>
    <xf numFmtId="0" fontId="2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2" fontId="1" fillId="0" borderId="18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/>
    </xf>
    <xf numFmtId="0" fontId="8" fillId="20" borderId="29" xfId="0" applyFont="1" applyFill="1" applyBorder="1"/>
    <xf numFmtId="0" fontId="4" fillId="0" borderId="18" xfId="0" applyFont="1" applyBorder="1" applyAlignment="1">
      <alignment vertical="top"/>
    </xf>
    <xf numFmtId="0" fontId="17" fillId="0" borderId="0" xfId="0" applyFont="1" applyBorder="1"/>
    <xf numFmtId="0" fontId="4" fillId="0" borderId="1" xfId="0" applyFont="1" applyBorder="1" applyAlignment="1">
      <alignment horizontal="center" vertical="top"/>
    </xf>
    <xf numFmtId="2" fontId="26" fillId="5" borderId="29" xfId="0" applyNumberFormat="1" applyFont="1" applyFill="1" applyBorder="1" applyAlignment="1">
      <alignment horizontal="right"/>
    </xf>
    <xf numFmtId="2" fontId="8" fillId="0" borderId="12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2" fontId="18" fillId="3" borderId="131" xfId="0" applyNumberFormat="1" applyFont="1" applyFill="1" applyBorder="1" applyAlignment="1">
      <alignment vertical="top" wrapText="1"/>
    </xf>
    <xf numFmtId="0" fontId="8" fillId="0" borderId="120" xfId="0" applyFont="1" applyBorder="1" applyAlignment="1">
      <alignment horizontal="center"/>
    </xf>
    <xf numFmtId="2" fontId="29" fillId="0" borderId="39" xfId="0" applyNumberFormat="1" applyFont="1" applyBorder="1"/>
    <xf numFmtId="2" fontId="36" fillId="0" borderId="39" xfId="0" applyNumberFormat="1" applyFont="1" applyBorder="1"/>
    <xf numFmtId="2" fontId="29" fillId="0" borderId="61" xfId="0" applyNumberFormat="1" applyFont="1" applyBorder="1"/>
    <xf numFmtId="2" fontId="2" fillId="9" borderId="28" xfId="0" applyNumberFormat="1" applyFont="1" applyFill="1" applyBorder="1" applyAlignment="1">
      <alignment vertical="center" wrapText="1"/>
    </xf>
    <xf numFmtId="2" fontId="2" fillId="9" borderId="36" xfId="0" applyNumberFormat="1" applyFont="1" applyFill="1" applyBorder="1" applyAlignment="1">
      <alignment vertical="top" wrapText="1"/>
    </xf>
    <xf numFmtId="2" fontId="2" fillId="9" borderId="29" xfId="0" applyNumberFormat="1" applyFont="1" applyFill="1" applyBorder="1" applyAlignment="1">
      <alignment vertical="center"/>
    </xf>
    <xf numFmtId="2" fontId="2" fillId="9" borderId="37" xfId="0" applyNumberFormat="1" applyFont="1" applyFill="1" applyBorder="1" applyAlignment="1">
      <alignment vertical="top" wrapText="1"/>
    </xf>
    <xf numFmtId="2" fontId="2" fillId="9" borderId="38" xfId="0" applyNumberFormat="1" applyFont="1" applyFill="1" applyBorder="1" applyAlignment="1">
      <alignment vertical="center" wrapText="1"/>
    </xf>
    <xf numFmtId="2" fontId="2" fillId="9" borderId="38" xfId="0" applyNumberFormat="1" applyFont="1" applyFill="1" applyBorder="1" applyAlignment="1">
      <alignment vertical="top" wrapText="1"/>
    </xf>
    <xf numFmtId="2" fontId="2" fillId="9" borderId="36" xfId="0" applyNumberFormat="1" applyFont="1" applyFill="1" applyBorder="1" applyAlignment="1">
      <alignment vertical="center" wrapText="1"/>
    </xf>
    <xf numFmtId="2" fontId="2" fillId="10" borderId="44" xfId="0" applyNumberFormat="1" applyFont="1" applyFill="1" applyBorder="1"/>
    <xf numFmtId="0" fontId="16" fillId="9" borderId="29" xfId="0" applyFont="1" applyFill="1" applyBorder="1"/>
    <xf numFmtId="0" fontId="43" fillId="2" borderId="17" xfId="0" applyFont="1" applyFill="1" applyBorder="1" applyAlignment="1"/>
    <xf numFmtId="0" fontId="6" fillId="2" borderId="34" xfId="0" applyFont="1" applyFill="1" applyBorder="1" applyAlignment="1">
      <alignment wrapText="1"/>
    </xf>
    <xf numFmtId="2" fontId="92" fillId="5" borderId="1" xfId="0" applyNumberFormat="1" applyFont="1" applyFill="1" applyBorder="1" applyAlignment="1">
      <alignment horizontal="right" readingOrder="1"/>
    </xf>
    <xf numFmtId="164" fontId="92" fillId="5" borderId="8" xfId="0" applyNumberFormat="1" applyFont="1" applyFill="1" applyBorder="1" applyAlignment="1">
      <alignment horizontal="left" readingOrder="1"/>
    </xf>
    <xf numFmtId="0" fontId="42" fillId="0" borderId="0" xfId="0" applyFont="1"/>
    <xf numFmtId="164" fontId="92" fillId="5" borderId="1" xfId="0" applyNumberFormat="1" applyFont="1" applyFill="1" applyBorder="1" applyAlignment="1">
      <alignment horizontal="center" readingOrder="1"/>
    </xf>
    <xf numFmtId="2" fontId="92" fillId="5" borderId="1" xfId="0" applyNumberFormat="1" applyFont="1" applyFill="1" applyBorder="1" applyAlignment="1">
      <alignment horizontal="center" readingOrder="1"/>
    </xf>
    <xf numFmtId="0" fontId="48" fillId="0" borderId="74" xfId="0" applyFont="1" applyBorder="1" applyAlignment="1">
      <alignment horizontal="left" vertical="center"/>
    </xf>
    <xf numFmtId="0" fontId="0" fillId="0" borderId="132" xfId="0" applyBorder="1"/>
    <xf numFmtId="0" fontId="50" fillId="6" borderId="75" xfId="0" applyFont="1" applyFill="1" applyBorder="1" applyAlignment="1">
      <alignment horizontal="left" vertical="center"/>
    </xf>
    <xf numFmtId="0" fontId="1" fillId="0" borderId="56" xfId="0" applyFont="1" applyBorder="1"/>
    <xf numFmtId="164" fontId="52" fillId="2" borderId="61" xfId="0" applyNumberFormat="1" applyFont="1" applyFill="1" applyBorder="1" applyAlignment="1">
      <alignment horizontal="right" vertical="top" wrapText="1"/>
    </xf>
    <xf numFmtId="0" fontId="88" fillId="4" borderId="132" xfId="0" applyFont="1" applyFill="1" applyBorder="1" applyAlignment="1">
      <alignment horizontal="center" vertical="center"/>
    </xf>
    <xf numFmtId="0" fontId="50" fillId="0" borderId="75" xfId="0" applyFont="1" applyFill="1" applyBorder="1" applyAlignment="1">
      <alignment horizontal="left" vertical="center"/>
    </xf>
    <xf numFmtId="0" fontId="35" fillId="14" borderId="141" xfId="0" applyFont="1" applyFill="1" applyBorder="1" applyAlignment="1">
      <alignment horizontal="left" readingOrder="1"/>
    </xf>
    <xf numFmtId="0" fontId="0" fillId="0" borderId="65" xfId="0" applyBorder="1"/>
    <xf numFmtId="0" fontId="35" fillId="14" borderId="65" xfId="0" applyFont="1" applyFill="1" applyBorder="1" applyAlignment="1">
      <alignment horizontal="left" readingOrder="1"/>
    </xf>
    <xf numFmtId="0" fontId="35" fillId="14" borderId="73" xfId="0" applyFont="1" applyFill="1" applyBorder="1" applyAlignment="1">
      <alignment horizontal="left" readingOrder="1"/>
    </xf>
    <xf numFmtId="0" fontId="0" fillId="23" borderId="56" xfId="0" applyFill="1" applyBorder="1"/>
    <xf numFmtId="0" fontId="0" fillId="23" borderId="61" xfId="0" applyFill="1" applyBorder="1"/>
    <xf numFmtId="0" fontId="89" fillId="5" borderId="41" xfId="0" applyFont="1" applyFill="1" applyBorder="1"/>
    <xf numFmtId="0" fontId="0" fillId="5" borderId="1" xfId="0" applyFill="1" applyBorder="1"/>
    <xf numFmtId="0" fontId="0" fillId="23" borderId="8" xfId="0" applyFill="1" applyBorder="1"/>
    <xf numFmtId="0" fontId="89" fillId="5" borderId="12" xfId="0" applyFont="1" applyFill="1" applyBorder="1"/>
    <xf numFmtId="2" fontId="8" fillId="3" borderId="127" xfId="2" applyNumberFormat="1" applyFont="1" applyFill="1" applyBorder="1" applyAlignment="1" applyProtection="1">
      <alignment horizontal="center" vertical="center" wrapText="1"/>
      <protection locked="0"/>
    </xf>
    <xf numFmtId="2" fontId="8" fillId="24" borderId="117" xfId="0" applyNumberFormat="1" applyFont="1" applyFill="1" applyBorder="1" applyAlignment="1">
      <alignment horizontal="center" vertical="center" wrapText="1"/>
    </xf>
    <xf numFmtId="2" fontId="8" fillId="24" borderId="84" xfId="0" applyNumberFormat="1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164" fontId="8" fillId="13" borderId="29" xfId="0" applyNumberFormat="1" applyFont="1" applyFill="1" applyBorder="1" applyAlignment="1" applyProtection="1">
      <alignment horizontal="center" vertical="center"/>
      <protection locked="0"/>
    </xf>
    <xf numFmtId="0" fontId="93" fillId="0" borderId="84" xfId="0" applyFont="1" applyBorder="1"/>
    <xf numFmtId="0" fontId="94" fillId="23" borderId="0" xfId="0" applyFont="1" applyFill="1"/>
    <xf numFmtId="0" fontId="1" fillId="23" borderId="0" xfId="0" applyFont="1" applyFill="1" applyAlignment="1">
      <alignment horizontal="center"/>
    </xf>
    <xf numFmtId="0" fontId="8" fillId="23" borderId="0" xfId="0" applyFont="1" applyFill="1" applyAlignment="1">
      <alignment horizontal="left"/>
    </xf>
    <xf numFmtId="0" fontId="8" fillId="5" borderId="158" xfId="0" applyFont="1" applyFill="1" applyBorder="1" applyAlignment="1">
      <alignment horizontal="center" vertical="center" wrapText="1"/>
    </xf>
    <xf numFmtId="0" fontId="8" fillId="5" borderId="159" xfId="0" applyFont="1" applyFill="1" applyBorder="1" applyAlignment="1">
      <alignment horizontal="center" vertical="center" wrapText="1"/>
    </xf>
    <xf numFmtId="0" fontId="8" fillId="5" borderId="160" xfId="0" applyFont="1" applyFill="1" applyBorder="1" applyAlignment="1">
      <alignment horizontal="center" vertical="center" wrapText="1"/>
    </xf>
    <xf numFmtId="0" fontId="8" fillId="5" borderId="16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31" fillId="14" borderId="163" xfId="0" applyFont="1" applyFill="1" applyBorder="1" applyAlignment="1">
      <alignment horizontal="center" vertical="top" wrapText="1"/>
    </xf>
    <xf numFmtId="0" fontId="29" fillId="23" borderId="0" xfId="0" applyFont="1" applyFill="1"/>
    <xf numFmtId="0" fontId="5" fillId="26" borderId="0" xfId="0" applyFont="1" applyFill="1" applyAlignment="1">
      <alignment vertical="top" wrapText="1"/>
    </xf>
    <xf numFmtId="0" fontId="6" fillId="26" borderId="0" xfId="0" applyFont="1" applyFill="1" applyAlignment="1">
      <alignment horizontal="center" vertical="top" wrapText="1"/>
    </xf>
    <xf numFmtId="0" fontId="8" fillId="4" borderId="122" xfId="0" applyFont="1" applyFill="1" applyBorder="1" applyAlignment="1">
      <alignment horizontal="center" vertical="center" wrapText="1"/>
    </xf>
    <xf numFmtId="0" fontId="8" fillId="4" borderId="123" xfId="0" applyFont="1" applyFill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 wrapText="1"/>
    </xf>
    <xf numFmtId="0" fontId="8" fillId="4" borderId="138" xfId="0" applyFont="1" applyFill="1" applyBorder="1" applyAlignment="1">
      <alignment horizontal="center" vertical="center" wrapText="1"/>
    </xf>
    <xf numFmtId="0" fontId="1" fillId="4" borderId="63" xfId="0" applyFont="1" applyFill="1" applyBorder="1"/>
    <xf numFmtId="0" fontId="1" fillId="4" borderId="64" xfId="0" applyFont="1" applyFill="1" applyBorder="1"/>
    <xf numFmtId="0" fontId="8" fillId="4" borderId="2" xfId="0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1" fillId="4" borderId="0" xfId="0" applyFont="1" applyFill="1" applyBorder="1"/>
    <xf numFmtId="0" fontId="1" fillId="4" borderId="65" xfId="0" applyFont="1" applyFill="1" applyBorder="1"/>
    <xf numFmtId="0" fontId="0" fillId="5" borderId="139" xfId="0" applyFill="1" applyBorder="1"/>
    <xf numFmtId="0" fontId="8" fillId="5" borderId="66" xfId="0" applyFont="1" applyFill="1" applyBorder="1" applyAlignment="1">
      <alignment horizontal="center" vertical="center" wrapText="1"/>
    </xf>
    <xf numFmtId="0" fontId="8" fillId="5" borderId="140" xfId="0" applyFont="1" applyFill="1" applyBorder="1" applyAlignment="1">
      <alignment horizontal="center" vertical="center" wrapText="1"/>
    </xf>
    <xf numFmtId="0" fontId="8" fillId="5" borderId="68" xfId="0" applyFont="1" applyFill="1" applyBorder="1" applyAlignment="1">
      <alignment horizontal="center" vertical="center" wrapText="1"/>
    </xf>
    <xf numFmtId="0" fontId="8" fillId="5" borderId="102" xfId="0" applyFont="1" applyFill="1" applyBorder="1" applyAlignment="1">
      <alignment horizontal="center" vertical="center" wrapText="1"/>
    </xf>
    <xf numFmtId="164" fontId="54" fillId="5" borderId="133" xfId="0" applyNumberFormat="1" applyFont="1" applyFill="1" applyBorder="1" applyAlignment="1">
      <alignment horizontal="right" vertical="top" wrapText="1"/>
    </xf>
    <xf numFmtId="2" fontId="8" fillId="5" borderId="129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51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52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53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2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4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" xfId="0" applyNumberFormat="1" applyFont="1" applyFill="1" applyBorder="1" applyAlignment="1" applyProtection="1">
      <alignment horizontal="center" vertical="center"/>
      <protection locked="0"/>
    </xf>
    <xf numFmtId="2" fontId="8" fillId="5" borderId="103" xfId="0" applyNumberFormat="1" applyFont="1" applyFill="1" applyBorder="1" applyAlignment="1" applyProtection="1">
      <alignment horizontal="center" vertical="center"/>
      <protection locked="0"/>
    </xf>
    <xf numFmtId="164" fontId="54" fillId="25" borderId="147" xfId="0" applyNumberFormat="1" applyFont="1" applyFill="1" applyBorder="1" applyAlignment="1">
      <alignment horizontal="right" vertical="top" wrapText="1"/>
    </xf>
    <xf numFmtId="2" fontId="8" fillId="25" borderId="148" xfId="0" applyNumberFormat="1" applyFont="1" applyFill="1" applyBorder="1" applyAlignment="1" applyProtection="1">
      <alignment horizontal="center" vertical="center" wrapText="1"/>
      <protection locked="0"/>
    </xf>
    <xf numFmtId="2" fontId="8" fillId="25" borderId="148" xfId="2" applyNumberFormat="1" applyFont="1" applyFill="1" applyBorder="1" applyAlignment="1" applyProtection="1">
      <alignment horizontal="center" vertical="center" wrapText="1"/>
      <protection locked="0"/>
    </xf>
    <xf numFmtId="2" fontId="8" fillId="25" borderId="149" xfId="2" applyNumberFormat="1" applyFont="1" applyFill="1" applyBorder="1" applyAlignment="1" applyProtection="1">
      <alignment horizontal="center" vertical="center" wrapText="1"/>
      <protection locked="0"/>
    </xf>
    <xf numFmtId="2" fontId="8" fillId="25" borderId="126" xfId="2" applyNumberFormat="1" applyFont="1" applyFill="1" applyBorder="1" applyAlignment="1" applyProtection="1">
      <alignment horizontal="center" vertical="center" wrapText="1"/>
      <protection locked="0"/>
    </xf>
    <xf numFmtId="164" fontId="52" fillId="25" borderId="134" xfId="0" applyNumberFormat="1" applyFont="1" applyFill="1" applyBorder="1" applyAlignment="1">
      <alignment horizontal="right" vertical="top" wrapText="1"/>
    </xf>
    <xf numFmtId="2" fontId="8" fillId="25" borderId="125" xfId="0" applyNumberFormat="1" applyFont="1" applyFill="1" applyBorder="1" applyAlignment="1" applyProtection="1">
      <alignment horizontal="center" vertical="center"/>
      <protection locked="0"/>
    </xf>
    <xf numFmtId="2" fontId="8" fillId="25" borderId="71" xfId="0" applyNumberFormat="1" applyFont="1" applyFill="1" applyBorder="1" applyAlignment="1" applyProtection="1">
      <alignment horizontal="center" vertical="center"/>
      <protection locked="0"/>
    </xf>
    <xf numFmtId="0" fontId="0" fillId="12" borderId="166" xfId="0" applyFill="1" applyBorder="1"/>
    <xf numFmtId="0" fontId="1" fillId="12" borderId="146" xfId="0" applyFont="1" applyFill="1" applyBorder="1"/>
    <xf numFmtId="0" fontId="88" fillId="12" borderId="8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left" readingOrder="1"/>
    </xf>
    <xf numFmtId="2" fontId="41" fillId="12" borderId="8" xfId="0" applyNumberFormat="1" applyFont="1" applyFill="1" applyBorder="1" applyAlignment="1">
      <alignment horizontal="center" vertical="center" readingOrder="1"/>
    </xf>
    <xf numFmtId="2" fontId="41" fillId="12" borderId="7" xfId="0" applyNumberFormat="1" applyFont="1" applyFill="1" applyBorder="1" applyAlignment="1">
      <alignment horizontal="center" vertical="center" readingOrder="1"/>
    </xf>
    <xf numFmtId="2" fontId="90" fillId="12" borderId="72" xfId="0" applyNumberFormat="1" applyFont="1" applyFill="1" applyBorder="1" applyAlignment="1">
      <alignment horizontal="center" readingOrder="1"/>
    </xf>
    <xf numFmtId="2" fontId="90" fillId="12" borderId="142" xfId="0" applyNumberFormat="1" applyFont="1" applyFill="1" applyBorder="1" applyAlignment="1">
      <alignment horizontal="right" readingOrder="1"/>
    </xf>
    <xf numFmtId="164" fontId="90" fillId="12" borderId="143" xfId="0" applyNumberFormat="1" applyFont="1" applyFill="1" applyBorder="1" applyAlignment="1">
      <alignment horizontal="left" readingOrder="1"/>
    </xf>
    <xf numFmtId="0" fontId="0" fillId="12" borderId="72" xfId="0" applyFill="1" applyBorder="1"/>
    <xf numFmtId="164" fontId="90" fillId="12" borderId="142" xfId="0" applyNumberFormat="1" applyFont="1" applyFill="1" applyBorder="1" applyAlignment="1">
      <alignment horizontal="center" readingOrder="1"/>
    </xf>
    <xf numFmtId="2" fontId="90" fillId="12" borderId="144" xfId="0" applyNumberFormat="1" applyFont="1" applyFill="1" applyBorder="1" applyAlignment="1">
      <alignment horizontal="center" readingOrder="1"/>
    </xf>
    <xf numFmtId="2" fontId="90" fillId="12" borderId="142" xfId="0" applyNumberFormat="1" applyFont="1" applyFill="1" applyBorder="1" applyAlignment="1">
      <alignment horizontal="center" readingOrder="1"/>
    </xf>
    <xf numFmtId="0" fontId="35" fillId="12" borderId="72" xfId="0" applyFont="1" applyFill="1" applyBorder="1" applyAlignment="1">
      <alignment horizontal="left" readingOrder="1"/>
    </xf>
    <xf numFmtId="0" fontId="25" fillId="4" borderId="0" xfId="0" applyFont="1" applyFill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2" fontId="2" fillId="7" borderId="168" xfId="0" applyNumberFormat="1" applyFont="1" applyFill="1" applyBorder="1" applyAlignment="1">
      <alignment horizontal="center" vertical="top" wrapText="1"/>
    </xf>
    <xf numFmtId="2" fontId="2" fillId="7" borderId="10" xfId="0" applyNumberFormat="1" applyFont="1" applyFill="1" applyBorder="1" applyAlignment="1">
      <alignment horizontal="center" vertical="top" wrapText="1"/>
    </xf>
    <xf numFmtId="2" fontId="2" fillId="7" borderId="11" xfId="0" applyNumberFormat="1" applyFont="1" applyFill="1" applyBorder="1" applyAlignment="1">
      <alignment horizontal="center" vertical="top" wrapText="1"/>
    </xf>
    <xf numFmtId="2" fontId="2" fillId="7" borderId="9" xfId="0" applyNumberFormat="1" applyFont="1" applyFill="1" applyBorder="1" applyAlignment="1">
      <alignment horizontal="center" vertical="top" wrapText="1"/>
    </xf>
    <xf numFmtId="2" fontId="2" fillId="7" borderId="169" xfId="0" applyNumberFormat="1" applyFont="1" applyFill="1" applyBorder="1" applyAlignment="1">
      <alignment horizontal="center" vertical="top" wrapText="1"/>
    </xf>
    <xf numFmtId="0" fontId="23" fillId="22" borderId="25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26" borderId="0" xfId="0" applyFill="1" applyBorder="1"/>
    <xf numFmtId="0" fontId="0" fillId="26" borderId="65" xfId="0" applyFill="1" applyBorder="1"/>
    <xf numFmtId="0" fontId="97" fillId="26" borderId="75" xfId="0" applyFont="1" applyFill="1" applyBorder="1"/>
    <xf numFmtId="0" fontId="29" fillId="26" borderId="0" xfId="0" applyFont="1" applyFill="1" applyBorder="1"/>
    <xf numFmtId="0" fontId="8" fillId="27" borderId="159" xfId="0" applyFont="1" applyFill="1" applyBorder="1" applyAlignment="1">
      <alignment horizontal="center" vertical="center" wrapText="1"/>
    </xf>
    <xf numFmtId="0" fontId="100" fillId="5" borderId="0" xfId="0" applyFont="1" applyFill="1"/>
    <xf numFmtId="2" fontId="8" fillId="4" borderId="29" xfId="0" applyNumberFormat="1" applyFont="1" applyFill="1" applyBorder="1" applyAlignment="1">
      <alignment horizontal="center" vertical="center"/>
    </xf>
    <xf numFmtId="2" fontId="1" fillId="4" borderId="29" xfId="0" applyNumberFormat="1" applyFont="1" applyFill="1" applyBorder="1" applyAlignment="1">
      <alignment horizontal="center" vertical="center"/>
    </xf>
    <xf numFmtId="0" fontId="8" fillId="27" borderId="29" xfId="0" applyFont="1" applyFill="1" applyBorder="1" applyAlignment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156" xfId="0" applyFont="1" applyBorder="1" applyAlignment="1" applyProtection="1">
      <alignment horizontal="center" vertical="center" wrapText="1"/>
      <protection locked="0"/>
    </xf>
    <xf numFmtId="0" fontId="44" fillId="0" borderId="170" xfId="0" applyFont="1" applyBorder="1" applyAlignment="1" applyProtection="1">
      <alignment horizontal="center" vertical="center" wrapText="1"/>
      <protection locked="0"/>
    </xf>
    <xf numFmtId="0" fontId="83" fillId="21" borderId="0" xfId="0" applyFont="1" applyFill="1" applyAlignment="1">
      <alignment horizontal="center" vertical="center"/>
    </xf>
    <xf numFmtId="0" fontId="41" fillId="21" borderId="0" xfId="0" applyFont="1" applyFill="1" applyAlignment="1">
      <alignment horizontal="center" vertical="center"/>
    </xf>
    <xf numFmtId="0" fontId="56" fillId="5" borderId="150" xfId="0" applyFont="1" applyFill="1" applyBorder="1" applyAlignment="1">
      <alignment horizontal="right" vertical="center" wrapText="1"/>
    </xf>
    <xf numFmtId="0" fontId="72" fillId="5" borderId="128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 applyProtection="1">
      <alignment horizontal="center" vertical="center"/>
      <protection locked="0"/>
    </xf>
    <xf numFmtId="0" fontId="53" fillId="15" borderId="99" xfId="0" applyFont="1" applyFill="1" applyBorder="1" applyAlignment="1">
      <alignment horizontal="center" vertical="center" textRotation="255"/>
    </xf>
    <xf numFmtId="0" fontId="59" fillId="0" borderId="81" xfId="0" applyFont="1" applyBorder="1" applyAlignment="1">
      <alignment horizontal="center" textRotation="255"/>
    </xf>
    <xf numFmtId="0" fontId="59" fillId="0" borderId="98" xfId="0" applyFont="1" applyBorder="1" applyAlignment="1">
      <alignment horizontal="center" textRotation="255"/>
    </xf>
    <xf numFmtId="0" fontId="55" fillId="23" borderId="76" xfId="1" applyFont="1" applyFill="1" applyBorder="1" applyAlignment="1">
      <alignment vertical="center" wrapText="1" shrinkToFit="1"/>
    </xf>
    <xf numFmtId="0" fontId="55" fillId="23" borderId="77" xfId="0" applyFont="1" applyFill="1" applyBorder="1" applyAlignment="1">
      <alignment vertical="center" wrapText="1"/>
    </xf>
    <xf numFmtId="0" fontId="54" fillId="25" borderId="34" xfId="0" applyFont="1" applyFill="1" applyBorder="1" applyAlignment="1">
      <alignment horizontal="center" vertical="center" textRotation="255"/>
    </xf>
    <xf numFmtId="0" fontId="87" fillId="25" borderId="56" xfId="0" applyFont="1" applyFill="1" applyBorder="1" applyAlignment="1"/>
    <xf numFmtId="0" fontId="87" fillId="25" borderId="61" xfId="0" applyFont="1" applyFill="1" applyBorder="1" applyAlignment="1"/>
    <xf numFmtId="0" fontId="15" fillId="16" borderId="1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6" fillId="4" borderId="136" xfId="0" applyFont="1" applyFill="1" applyBorder="1" applyAlignment="1">
      <alignment horizontal="center" vertical="center" wrapText="1"/>
    </xf>
    <xf numFmtId="0" fontId="47" fillId="4" borderId="137" xfId="0" applyFont="1" applyFill="1" applyBorder="1" applyAlignment="1">
      <alignment horizontal="center" vertical="center" wrapText="1"/>
    </xf>
    <xf numFmtId="0" fontId="46" fillId="12" borderId="121" xfId="0" applyFont="1" applyFill="1" applyBorder="1" applyAlignment="1">
      <alignment horizontal="center" vertical="center" wrapText="1"/>
    </xf>
    <xf numFmtId="0" fontId="47" fillId="12" borderId="2" xfId="0" applyFont="1" applyFill="1" applyBorder="1" applyAlignment="1">
      <alignment horizontal="center" vertical="center" wrapText="1"/>
    </xf>
    <xf numFmtId="0" fontId="40" fillId="25" borderId="146" xfId="0" applyFont="1" applyFill="1" applyBorder="1" applyAlignment="1">
      <alignment horizontal="right" vertical="top" wrapText="1"/>
    </xf>
    <xf numFmtId="0" fontId="0" fillId="25" borderId="146" xfId="0" applyFill="1" applyBorder="1" applyAlignment="1">
      <alignment horizontal="right" vertical="top" wrapText="1"/>
    </xf>
    <xf numFmtId="0" fontId="40" fillId="25" borderId="100" xfId="0" applyFont="1" applyFill="1" applyBorder="1" applyAlignment="1">
      <alignment horizontal="right" vertical="top" wrapText="1"/>
    </xf>
    <xf numFmtId="0" fontId="0" fillId="25" borderId="145" xfId="0" applyFill="1" applyBorder="1" applyAlignment="1">
      <alignment horizontal="right" vertical="top" wrapText="1"/>
    </xf>
    <xf numFmtId="0" fontId="50" fillId="4" borderId="12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8" fillId="12" borderId="164" xfId="0" applyFont="1" applyFill="1" applyBorder="1"/>
    <xf numFmtId="0" fontId="98" fillId="12" borderId="165" xfId="0" applyFont="1" applyFill="1" applyBorder="1"/>
    <xf numFmtId="0" fontId="23" fillId="12" borderId="121" xfId="0" applyFont="1" applyFill="1" applyBorder="1" applyAlignment="1">
      <alignment horizontal="center" readingOrder="1"/>
    </xf>
    <xf numFmtId="0" fontId="0" fillId="12" borderId="2" xfId="0" applyFill="1" applyBorder="1" applyAlignment="1">
      <alignment horizontal="center" readingOrder="1"/>
    </xf>
    <xf numFmtId="0" fontId="23" fillId="12" borderId="167" xfId="0" applyFont="1" applyFill="1" applyBorder="1" applyAlignment="1">
      <alignment horizontal="center" readingOrder="1"/>
    </xf>
    <xf numFmtId="0" fontId="0" fillId="12" borderId="113" xfId="0" applyFill="1" applyBorder="1" applyAlignment="1">
      <alignment horizontal="center" readingOrder="1"/>
    </xf>
    <xf numFmtId="0" fontId="99" fillId="12" borderId="162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84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8" fillId="12" borderId="41" xfId="0" applyFont="1" applyFill="1" applyBorder="1" applyAlignment="1" applyProtection="1">
      <alignment horizontal="center" vertical="center"/>
      <protection locked="0"/>
    </xf>
    <xf numFmtId="0" fontId="1" fillId="12" borderId="39" xfId="0" applyFont="1" applyFill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/>
      <protection locked="0"/>
    </xf>
    <xf numFmtId="0" fontId="8" fillId="22" borderId="17" xfId="0" applyFont="1" applyFill="1" applyBorder="1" applyAlignment="1" applyProtection="1">
      <alignment horizontal="center" vertical="center"/>
      <protection locked="0"/>
    </xf>
    <xf numFmtId="0" fontId="8" fillId="22" borderId="55" xfId="0" applyFont="1" applyFill="1" applyBorder="1" applyAlignment="1" applyProtection="1">
      <alignment horizontal="center" vertical="center"/>
      <protection locked="0"/>
    </xf>
    <xf numFmtId="0" fontId="1" fillId="22" borderId="8" xfId="0" applyFont="1" applyFill="1" applyBorder="1" applyAlignment="1" applyProtection="1">
      <alignment horizontal="center"/>
      <protection locked="0"/>
    </xf>
    <xf numFmtId="0" fontId="96" fillId="5" borderId="124" xfId="0" applyFont="1" applyFill="1" applyBorder="1" applyAlignment="1">
      <alignment horizontal="right" vertical="center" wrapText="1"/>
    </xf>
    <xf numFmtId="0" fontId="101" fillId="5" borderId="135" xfId="0" applyFont="1" applyFill="1" applyBorder="1" applyAlignment="1">
      <alignment horizontal="right" vertical="center" wrapText="1"/>
    </xf>
    <xf numFmtId="0" fontId="46" fillId="24" borderId="21" xfId="0" applyFont="1" applyFill="1" applyBorder="1" applyAlignment="1">
      <alignment horizontal="right" vertical="top" wrapText="1"/>
    </xf>
    <xf numFmtId="0" fontId="47" fillId="24" borderId="21" xfId="0" applyFont="1" applyFill="1" applyBorder="1" applyAlignment="1">
      <alignment horizontal="right" vertical="top" wrapText="1"/>
    </xf>
    <xf numFmtId="0" fontId="15" fillId="5" borderId="155" xfId="0" applyFont="1" applyFill="1" applyBorder="1" applyAlignment="1">
      <alignment horizontal="center" vertical="center" wrapText="1"/>
    </xf>
    <xf numFmtId="0" fontId="9" fillId="5" borderId="156" xfId="0" applyFont="1" applyFill="1" applyBorder="1" applyAlignment="1">
      <alignment horizontal="center" vertical="center" wrapText="1"/>
    </xf>
    <xf numFmtId="0" fontId="95" fillId="5" borderId="157" xfId="0" applyFont="1" applyFill="1" applyBorder="1" applyAlignment="1">
      <alignment wrapText="1"/>
    </xf>
    <xf numFmtId="0" fontId="96" fillId="5" borderId="166" xfId="0" applyFont="1" applyFill="1" applyBorder="1" applyAlignment="1">
      <alignment horizontal="center" wrapText="1"/>
    </xf>
    <xf numFmtId="0" fontId="0" fillId="5" borderId="146" xfId="0" applyFill="1" applyBorder="1" applyAlignment="1">
      <alignment horizontal="center" wrapText="1"/>
    </xf>
    <xf numFmtId="0" fontId="0" fillId="5" borderId="146" xfId="0" applyFill="1" applyBorder="1" applyAlignment="1">
      <alignment wrapText="1"/>
    </xf>
  </cellXfs>
  <cellStyles count="3">
    <cellStyle name="40% - Έμφαση6" xfId="1" builtinId="51"/>
    <cellStyle name="Κανονικό" xfId="0" builtinId="0"/>
    <cellStyle name="Κανονικό 2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E5FFE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zoomScale="46" zoomScaleNormal="46" workbookViewId="0">
      <selection activeCell="W10" sqref="W10"/>
    </sheetView>
  </sheetViews>
  <sheetFormatPr defaultRowHeight="15" x14ac:dyDescent="0.25"/>
  <cols>
    <col min="2" max="2" width="20.140625" customWidth="1"/>
    <col min="3" max="3" width="26.5703125" customWidth="1"/>
    <col min="4" max="4" width="38" customWidth="1"/>
    <col min="5" max="5" width="40.5703125" customWidth="1"/>
    <col min="6" max="6" width="22.28515625" customWidth="1"/>
    <col min="7" max="7" width="15.5703125" customWidth="1"/>
    <col min="8" max="8" width="13.42578125" customWidth="1"/>
    <col min="9" max="9" width="11.7109375" customWidth="1"/>
    <col min="10" max="10" width="13.140625" customWidth="1"/>
    <col min="11" max="11" width="12.7109375" customWidth="1"/>
    <col min="12" max="12" width="15.28515625" customWidth="1"/>
    <col min="13" max="13" width="15.85546875" customWidth="1"/>
    <col min="14" max="14" width="18" bestFit="1" customWidth="1"/>
    <col min="15" max="15" width="16.42578125" customWidth="1"/>
    <col min="16" max="16" width="21.140625" bestFit="1" customWidth="1"/>
    <col min="18" max="18" width="11.5703125" bestFit="1" customWidth="1"/>
  </cols>
  <sheetData>
    <row r="1" spans="1:24" x14ac:dyDescent="0.25">
      <c r="A1" s="269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24" ht="36.75" x14ac:dyDescent="0.7">
      <c r="A2" s="339"/>
      <c r="B2" s="363"/>
      <c r="C2" s="363"/>
      <c r="D2" s="379" t="s">
        <v>84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64"/>
      <c r="Q2" s="88"/>
      <c r="R2" s="88"/>
      <c r="S2" s="88"/>
      <c r="T2" s="88"/>
      <c r="U2" s="88"/>
    </row>
    <row r="3" spans="1:24" ht="27" x14ac:dyDescent="0.3">
      <c r="A3" s="339"/>
      <c r="B3" s="363"/>
      <c r="C3" s="363"/>
      <c r="D3" s="657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364"/>
      <c r="Q3" s="88"/>
      <c r="R3" s="88"/>
      <c r="S3" s="88"/>
      <c r="T3" s="88"/>
      <c r="U3" s="88"/>
    </row>
    <row r="4" spans="1:24" ht="27" x14ac:dyDescent="0.5">
      <c r="A4" s="339"/>
      <c r="B4" s="380"/>
      <c r="C4" s="380"/>
      <c r="D4" s="381"/>
      <c r="E4" s="382"/>
      <c r="F4" s="383" t="s">
        <v>85</v>
      </c>
      <c r="G4" s="382"/>
      <c r="H4" s="382"/>
      <c r="I4" s="382"/>
      <c r="J4" s="382"/>
      <c r="K4" s="382"/>
      <c r="L4" s="382"/>
      <c r="M4" s="382"/>
      <c r="N4" s="382"/>
      <c r="O4" s="382"/>
      <c r="P4" s="364"/>
      <c r="Q4" s="88"/>
      <c r="R4" s="88"/>
      <c r="S4" s="88"/>
      <c r="T4" s="88"/>
      <c r="U4" s="88"/>
    </row>
    <row r="5" spans="1:24" ht="27.75" thickBot="1" x14ac:dyDescent="0.45">
      <c r="A5" s="339"/>
      <c r="B5" s="380"/>
      <c r="C5" s="539" t="str">
        <f>IF(M7=0,".", IF(P7 = "OK",".", "Η συνταγή δεν είναι σωστή. Τα αρνητικά ιόντα πρέπει να είναι ίσα με τα θετικά."))</f>
        <v>.</v>
      </c>
      <c r="D5" s="381"/>
      <c r="E5" s="540"/>
      <c r="F5" s="541"/>
      <c r="G5" s="540"/>
      <c r="H5" s="540"/>
      <c r="I5" s="540"/>
      <c r="J5" s="540"/>
      <c r="K5" s="540"/>
      <c r="L5" s="540"/>
      <c r="M5" s="540"/>
      <c r="N5" s="540"/>
      <c r="O5" s="540"/>
      <c r="P5" s="364"/>
      <c r="Q5" s="88"/>
      <c r="R5" s="88"/>
      <c r="S5" s="88"/>
      <c r="T5" s="88"/>
      <c r="U5" s="88"/>
    </row>
    <row r="6" spans="1:24" ht="24.75" thickTop="1" thickBot="1" x14ac:dyDescent="0.35">
      <c r="A6" s="339"/>
      <c r="B6" s="380"/>
      <c r="C6" s="669" t="s">
        <v>20</v>
      </c>
      <c r="D6" s="670"/>
      <c r="E6" s="671"/>
      <c r="F6" s="542" t="s">
        <v>119</v>
      </c>
      <c r="G6" s="543" t="s">
        <v>28</v>
      </c>
      <c r="H6" s="543" t="s">
        <v>29</v>
      </c>
      <c r="I6" s="614"/>
      <c r="J6" s="543" t="s">
        <v>31</v>
      </c>
      <c r="K6" s="543" t="s">
        <v>32</v>
      </c>
      <c r="L6" s="544" t="s">
        <v>33</v>
      </c>
      <c r="M6" s="545" t="s">
        <v>34</v>
      </c>
      <c r="N6" s="540"/>
      <c r="O6" s="540"/>
      <c r="P6" s="364"/>
      <c r="Q6" s="88"/>
      <c r="R6" s="88"/>
      <c r="S6" s="88"/>
      <c r="T6" s="88"/>
      <c r="U6" s="88"/>
    </row>
    <row r="7" spans="1:24" ht="22.5" thickTop="1" thickBot="1" x14ac:dyDescent="0.4">
      <c r="A7" s="339"/>
      <c r="B7" s="380"/>
      <c r="C7" s="672" t="s">
        <v>114</v>
      </c>
      <c r="D7" s="673"/>
      <c r="E7" s="674"/>
      <c r="F7" s="619">
        <v>0</v>
      </c>
      <c r="G7" s="619">
        <v>0</v>
      </c>
      <c r="H7" s="620">
        <v>0</v>
      </c>
      <c r="I7" s="618"/>
      <c r="J7" s="620">
        <v>0</v>
      </c>
      <c r="K7" s="619">
        <v>0</v>
      </c>
      <c r="L7" s="619">
        <v>0</v>
      </c>
      <c r="M7" s="621">
        <v>0</v>
      </c>
      <c r="N7" s="546">
        <f xml:space="preserve"> F7*1+G7*1+H7*2</f>
        <v>0</v>
      </c>
      <c r="O7" s="309">
        <f>(+J7*1+K7*1+L7*2+M7*2)</f>
        <v>0</v>
      </c>
      <c r="P7" s="547" t="str">
        <f>IF((F7*1+G7*1+H7*2)+(J7*1+K7*1+L7*2+M7*2)&lt;15, "N",IF(P8=0,"OK","R"))</f>
        <v>N</v>
      </c>
      <c r="Q7" s="88"/>
      <c r="R7" s="88"/>
      <c r="S7" s="88"/>
      <c r="T7" s="88"/>
      <c r="U7" s="88"/>
    </row>
    <row r="8" spans="1:24" ht="36.75" customHeight="1" thickTop="1" thickBot="1" x14ac:dyDescent="0.45">
      <c r="A8" s="339"/>
      <c r="B8" s="548"/>
      <c r="C8" s="612" t="s">
        <v>109</v>
      </c>
      <c r="D8" s="613"/>
      <c r="E8" s="613"/>
      <c r="F8" s="610"/>
      <c r="G8" s="610"/>
      <c r="H8" s="610"/>
      <c r="I8" s="610"/>
      <c r="J8" s="610"/>
      <c r="K8" s="610"/>
      <c r="L8" s="610"/>
      <c r="M8" s="611"/>
      <c r="N8" s="549"/>
      <c r="O8" s="550"/>
      <c r="P8" s="615">
        <f>N7-O7</f>
        <v>0</v>
      </c>
      <c r="Q8" s="88"/>
      <c r="R8" s="88"/>
      <c r="S8" s="88"/>
      <c r="T8" s="88"/>
      <c r="U8" s="88"/>
    </row>
    <row r="9" spans="1:24" ht="30" customHeight="1" thickTop="1" thickBot="1" x14ac:dyDescent="0.35">
      <c r="A9" s="339"/>
      <c r="B9" s="381"/>
      <c r="C9" s="516" t="s">
        <v>113</v>
      </c>
      <c r="D9" s="171"/>
      <c r="E9" s="148"/>
      <c r="F9" s="148"/>
      <c r="G9" s="148"/>
      <c r="H9" s="148"/>
      <c r="I9" s="148"/>
      <c r="J9" s="148"/>
      <c r="K9" s="148"/>
      <c r="L9" s="148"/>
      <c r="M9" s="517"/>
      <c r="N9" s="626" t="s">
        <v>80</v>
      </c>
      <c r="O9" s="627"/>
      <c r="P9" s="628"/>
      <c r="Q9" s="89"/>
      <c r="R9" s="88"/>
      <c r="S9" s="88"/>
      <c r="T9" s="88"/>
    </row>
    <row r="10" spans="1:24" ht="30" customHeight="1" thickBot="1" x14ac:dyDescent="0.35">
      <c r="A10" s="339"/>
      <c r="B10" s="381"/>
      <c r="C10" s="518" t="s">
        <v>115</v>
      </c>
      <c r="D10" s="172"/>
      <c r="E10" s="90"/>
      <c r="F10" s="90"/>
      <c r="G10" s="90"/>
      <c r="H10" s="116"/>
      <c r="I10" s="116"/>
      <c r="J10" s="116"/>
      <c r="K10" s="116"/>
      <c r="L10" s="90"/>
      <c r="M10" s="519"/>
      <c r="N10" s="659" t="s">
        <v>12</v>
      </c>
      <c r="O10" s="660"/>
      <c r="P10" s="661"/>
      <c r="T10" s="89"/>
      <c r="U10" s="88"/>
      <c r="V10" s="88"/>
      <c r="X10" s="88"/>
    </row>
    <row r="11" spans="1:24" ht="30" customHeight="1" thickBot="1" x14ac:dyDescent="0.35">
      <c r="A11" s="339"/>
      <c r="B11" s="381"/>
      <c r="C11" s="518" t="s">
        <v>116</v>
      </c>
      <c r="D11" s="173"/>
      <c r="E11" s="90"/>
      <c r="F11" s="90"/>
      <c r="G11" s="90"/>
      <c r="H11" s="90"/>
      <c r="I11" s="116"/>
      <c r="J11" s="116"/>
      <c r="K11" s="116"/>
      <c r="L11" s="90"/>
      <c r="M11" s="519"/>
      <c r="N11" s="662" t="s">
        <v>72</v>
      </c>
      <c r="O11" s="663"/>
      <c r="P11" s="664"/>
      <c r="Q11" s="89"/>
      <c r="R11" s="88"/>
      <c r="S11" s="88"/>
      <c r="T11" s="88"/>
      <c r="U11" s="88"/>
    </row>
    <row r="12" spans="1:24" ht="30" customHeight="1" thickTop="1" thickBot="1" x14ac:dyDescent="0.35">
      <c r="A12" s="339"/>
      <c r="B12" s="381"/>
      <c r="C12" s="639" t="s">
        <v>20</v>
      </c>
      <c r="D12" s="640"/>
      <c r="E12" s="521" t="s">
        <v>94</v>
      </c>
      <c r="F12" s="551" t="s">
        <v>119</v>
      </c>
      <c r="G12" s="552" t="s">
        <v>28</v>
      </c>
      <c r="H12" s="552" t="s">
        <v>29</v>
      </c>
      <c r="I12" s="552" t="s">
        <v>30</v>
      </c>
      <c r="J12" s="552" t="s">
        <v>31</v>
      </c>
      <c r="K12" s="552" t="s">
        <v>32</v>
      </c>
      <c r="L12" s="553" t="s">
        <v>33</v>
      </c>
      <c r="M12" s="554" t="s">
        <v>34</v>
      </c>
      <c r="N12" s="555"/>
      <c r="O12" s="556"/>
      <c r="P12" s="365"/>
      <c r="Q12" s="88"/>
      <c r="R12" s="88"/>
      <c r="S12" s="88"/>
      <c r="T12" s="88"/>
    </row>
    <row r="13" spans="1:24" ht="30" customHeight="1" thickBot="1" x14ac:dyDescent="0.35">
      <c r="A13" s="339"/>
      <c r="B13" s="381"/>
      <c r="C13" s="647" t="s">
        <v>95</v>
      </c>
      <c r="D13" s="648"/>
      <c r="E13" s="557">
        <f>IF(N9="Ανοιχτός",'..'!O25/10,'..'!AH25/10)</f>
        <v>2.63</v>
      </c>
      <c r="F13" s="616">
        <f>IF($N$9="Ανοιχτός",'..'!E25,'..'!X25)</f>
        <v>16</v>
      </c>
      <c r="G13" s="616">
        <f>IF($N$9="Ανοιχτός",'..'!F25,'..'!Y25)</f>
        <v>1.5</v>
      </c>
      <c r="H13" s="558">
        <f>IF($N$9="Ανοιχτός",'..'!G25,'..'!Z25)</f>
        <v>4.4000000000000004</v>
      </c>
      <c r="I13" s="617">
        <f>IF($N$9="Ανοιχτός",'..'!H25,'..'!AA25)</f>
        <v>0</v>
      </c>
      <c r="J13" s="558">
        <f>IF($N$9="Ανοιχτός",'..'!I25,'..'!AB25)</f>
        <v>1.2</v>
      </c>
      <c r="K13" s="616">
        <f>IF($N$9="Ανοιχτός",'..'!J25,'..'!AC25)</f>
        <v>9.5</v>
      </c>
      <c r="L13" s="558">
        <f>IF($N$9="Ανοιχτός",'..'!K25,'..'!AD25)</f>
        <v>5.4</v>
      </c>
      <c r="M13" s="616">
        <f>IF($N$9="Ανοιχτός",'..'!L25,'..'!AE25)</f>
        <v>2.4</v>
      </c>
      <c r="N13" s="559"/>
      <c r="O13" s="560"/>
      <c r="P13" s="365"/>
      <c r="Q13" s="89"/>
      <c r="R13" s="88"/>
      <c r="S13" s="88"/>
      <c r="T13" s="88"/>
      <c r="U13" s="88"/>
    </row>
    <row r="14" spans="1:24" ht="30" customHeight="1" thickBot="1" x14ac:dyDescent="0.35">
      <c r="A14" s="339"/>
      <c r="B14" s="381"/>
      <c r="C14" s="522" t="s">
        <v>117</v>
      </c>
      <c r="D14" s="173"/>
      <c r="E14" s="90"/>
      <c r="F14" s="90"/>
      <c r="G14" s="90"/>
      <c r="H14" s="90"/>
      <c r="I14" s="116"/>
      <c r="J14" s="412"/>
      <c r="K14" s="412"/>
      <c r="L14" s="90"/>
      <c r="M14" s="90"/>
      <c r="N14" s="537">
        <v>2.63</v>
      </c>
      <c r="O14" s="91"/>
      <c r="P14" s="365"/>
      <c r="Q14" s="89"/>
      <c r="R14" s="88"/>
      <c r="S14" s="88"/>
      <c r="T14" s="88"/>
      <c r="U14" s="88"/>
    </row>
    <row r="15" spans="1:24" ht="30" customHeight="1" x14ac:dyDescent="0.3">
      <c r="A15" s="339"/>
      <c r="B15" s="381"/>
      <c r="C15" s="522" t="s">
        <v>110</v>
      </c>
      <c r="D15" s="173"/>
      <c r="E15" s="90"/>
      <c r="F15" s="90"/>
      <c r="G15" s="90"/>
      <c r="H15" s="90"/>
      <c r="I15" s="149"/>
      <c r="J15" s="90"/>
      <c r="K15" s="90"/>
      <c r="L15" s="90"/>
      <c r="M15" s="90"/>
      <c r="N15" s="91"/>
      <c r="O15" s="91"/>
      <c r="P15" s="365"/>
      <c r="Q15" s="89"/>
      <c r="R15" s="88"/>
      <c r="S15" s="88"/>
      <c r="T15" s="88"/>
      <c r="U15" s="88"/>
    </row>
    <row r="16" spans="1:24" ht="30" customHeight="1" thickBot="1" x14ac:dyDescent="0.35">
      <c r="A16" s="339"/>
      <c r="B16" s="381"/>
      <c r="C16" s="518" t="s">
        <v>111</v>
      </c>
      <c r="D16" s="174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91"/>
      <c r="P16" s="365"/>
      <c r="Q16" s="89"/>
      <c r="R16" s="88"/>
      <c r="S16" s="88"/>
      <c r="T16" s="88"/>
      <c r="U16" s="88"/>
    </row>
    <row r="17" spans="1:21" ht="30" customHeight="1" thickTop="1" thickBot="1" x14ac:dyDescent="0.35">
      <c r="A17" s="339"/>
      <c r="B17" s="381"/>
      <c r="C17" s="665" t="s">
        <v>20</v>
      </c>
      <c r="D17" s="666"/>
      <c r="E17" s="561"/>
      <c r="F17" s="562" t="s">
        <v>119</v>
      </c>
      <c r="G17" s="562" t="s">
        <v>28</v>
      </c>
      <c r="H17" s="562" t="s">
        <v>29</v>
      </c>
      <c r="I17" s="562" t="s">
        <v>30</v>
      </c>
      <c r="J17" s="562" t="s">
        <v>31</v>
      </c>
      <c r="K17" s="562" t="s">
        <v>32</v>
      </c>
      <c r="L17" s="562" t="s">
        <v>33</v>
      </c>
      <c r="M17" s="563" t="s">
        <v>34</v>
      </c>
      <c r="N17" s="564" t="s">
        <v>35</v>
      </c>
      <c r="O17" s="565" t="s">
        <v>36</v>
      </c>
      <c r="P17" s="365"/>
      <c r="Q17" s="89"/>
      <c r="R17" s="88"/>
      <c r="S17" s="88"/>
      <c r="T17" s="88"/>
      <c r="U17" s="88"/>
    </row>
    <row r="18" spans="1:21" ht="30" customHeight="1" thickBot="1" x14ac:dyDescent="0.4">
      <c r="A18" s="462" t="s">
        <v>97</v>
      </c>
      <c r="B18" s="531"/>
      <c r="C18" s="624" t="s">
        <v>112</v>
      </c>
      <c r="D18" s="625"/>
      <c r="E18" s="566" t="s">
        <v>104</v>
      </c>
      <c r="F18" s="567">
        <v>0</v>
      </c>
      <c r="G18" s="568">
        <v>0</v>
      </c>
      <c r="H18" s="568">
        <v>0</v>
      </c>
      <c r="I18" s="569">
        <v>0</v>
      </c>
      <c r="J18" s="569">
        <v>0</v>
      </c>
      <c r="K18" s="570">
        <v>0</v>
      </c>
      <c r="L18" s="571">
        <v>0</v>
      </c>
      <c r="M18" s="572">
        <v>0</v>
      </c>
      <c r="N18" s="573">
        <v>0</v>
      </c>
      <c r="O18" s="574">
        <v>0</v>
      </c>
      <c r="P18" s="366"/>
      <c r="Q18" s="89"/>
      <c r="R18" s="88"/>
      <c r="S18" s="88"/>
      <c r="T18" s="88"/>
    </row>
    <row r="19" spans="1:21" ht="30" customHeight="1" thickBot="1" x14ac:dyDescent="0.4">
      <c r="A19" s="532" t="s">
        <v>106</v>
      </c>
      <c r="B19" s="527"/>
      <c r="C19" s="643" t="s">
        <v>102</v>
      </c>
      <c r="D19" s="644"/>
      <c r="E19" s="575" t="s">
        <v>104</v>
      </c>
      <c r="F19" s="576">
        <v>0</v>
      </c>
      <c r="G19" s="576">
        <v>0</v>
      </c>
      <c r="H19" s="576">
        <v>0</v>
      </c>
      <c r="I19" s="577">
        <v>0</v>
      </c>
      <c r="J19" s="577">
        <v>0</v>
      </c>
      <c r="K19" s="577">
        <v>0</v>
      </c>
      <c r="L19" s="577">
        <v>0</v>
      </c>
      <c r="M19" s="578">
        <v>0</v>
      </c>
      <c r="N19" s="579">
        <v>0</v>
      </c>
      <c r="O19" s="533">
        <v>0</v>
      </c>
      <c r="P19" s="536" t="str">
        <f>IF((F19*1+G19*1+H19*2+I19*1+N19*1) -(J19*1+K19*1+L19*2+M19*2+O19*1)=0,"OK",(F19*1+G19*1+H19*2+I19*1+N19*1) -(J19*1+K19*1+L19*2+M19*2+O19*1))</f>
        <v>OK</v>
      </c>
      <c r="Q19" s="89"/>
      <c r="R19" s="88"/>
      <c r="S19" s="94"/>
      <c r="T19" s="88"/>
      <c r="U19" s="88"/>
    </row>
    <row r="20" spans="1:21" ht="30" customHeight="1" thickTop="1" thickBot="1" x14ac:dyDescent="0.35">
      <c r="A20" s="530"/>
      <c r="B20" s="531"/>
      <c r="C20" s="667"/>
      <c r="D20" s="668"/>
      <c r="E20" s="520"/>
      <c r="F20" s="534" t="s">
        <v>13</v>
      </c>
      <c r="G20" s="535" t="s">
        <v>14</v>
      </c>
      <c r="H20" s="535" t="s">
        <v>15</v>
      </c>
      <c r="I20" s="535" t="s">
        <v>16</v>
      </c>
      <c r="J20" s="535" t="s">
        <v>17</v>
      </c>
      <c r="K20" s="535" t="s">
        <v>18</v>
      </c>
      <c r="L20" s="104"/>
      <c r="M20" s="104"/>
      <c r="N20" s="170"/>
      <c r="O20" s="91"/>
      <c r="P20" s="365"/>
    </row>
    <row r="21" spans="1:21" ht="30" customHeight="1" thickBot="1" x14ac:dyDescent="0.4">
      <c r="A21" s="529" t="s">
        <v>107</v>
      </c>
      <c r="B21" s="528"/>
      <c r="C21" s="645" t="s">
        <v>103</v>
      </c>
      <c r="D21" s="646"/>
      <c r="E21" s="580" t="s">
        <v>105</v>
      </c>
      <c r="F21" s="581">
        <v>0</v>
      </c>
      <c r="G21" s="582">
        <v>0</v>
      </c>
      <c r="H21" s="582">
        <v>0</v>
      </c>
      <c r="I21" s="582">
        <v>0</v>
      </c>
      <c r="J21" s="582">
        <v>0</v>
      </c>
      <c r="K21" s="582">
        <v>0</v>
      </c>
      <c r="L21" s="95"/>
      <c r="M21" s="95"/>
      <c r="N21" s="96"/>
      <c r="O21" s="91"/>
      <c r="P21" s="365"/>
    </row>
    <row r="22" spans="1:21" ht="30" customHeight="1" thickBot="1" x14ac:dyDescent="0.35">
      <c r="A22" s="339"/>
      <c r="B22" s="461"/>
      <c r="C22" s="523" t="str">
        <f>IF(P19="OK","*","Τα αρνητικά με τα θετικά ηλεκτρικά φορτία των ιόντων του νερού θα έπρεπε να είναι ίσα. Καλό είναι να ξαναελέξετε τη χημική ανάλυση του νερού")</f>
        <v>*</v>
      </c>
      <c r="D22" s="443"/>
      <c r="E22" s="443"/>
      <c r="F22" s="367"/>
      <c r="G22" s="367"/>
      <c r="H22" s="367"/>
      <c r="I22" s="367"/>
      <c r="J22" s="367"/>
      <c r="K22" s="367"/>
      <c r="L22" s="367"/>
      <c r="M22" s="367"/>
      <c r="N22" s="443"/>
      <c r="O22" s="91"/>
      <c r="P22" s="365"/>
    </row>
    <row r="23" spans="1:21" ht="24.75" thickTop="1" thickBot="1" x14ac:dyDescent="0.35">
      <c r="A23" s="649" t="s">
        <v>19</v>
      </c>
      <c r="B23" s="650"/>
      <c r="C23" s="641" t="s">
        <v>20</v>
      </c>
      <c r="D23" s="642"/>
      <c r="E23" s="585" t="s">
        <v>94</v>
      </c>
      <c r="F23" s="586" t="s">
        <v>119</v>
      </c>
      <c r="G23" s="587" t="s">
        <v>28</v>
      </c>
      <c r="H23" s="587" t="s">
        <v>29</v>
      </c>
      <c r="I23" s="587" t="s">
        <v>30</v>
      </c>
      <c r="J23" s="587" t="s">
        <v>31</v>
      </c>
      <c r="K23" s="587" t="s">
        <v>32</v>
      </c>
      <c r="L23" s="588" t="s">
        <v>33</v>
      </c>
      <c r="M23" s="589" t="s">
        <v>34</v>
      </c>
      <c r="N23" s="590"/>
      <c r="O23" s="524"/>
      <c r="P23" s="365"/>
    </row>
    <row r="24" spans="1:21" ht="27.75" customHeight="1" thickBot="1" x14ac:dyDescent="0.35">
      <c r="A24" s="655" t="s">
        <v>108</v>
      </c>
      <c r="B24" s="656"/>
      <c r="C24" s="651" t="s">
        <v>93</v>
      </c>
      <c r="D24" s="652"/>
      <c r="E24" s="591">
        <f>IF(N9="Ανοιχτός",'..'!O45/10,'..'!AH45/10)</f>
        <v>2.63</v>
      </c>
      <c r="F24" s="592">
        <f>IF($N$9="Ανοιχτός",'..'!E44,'..'!X44)</f>
        <v>15.999999999999998</v>
      </c>
      <c r="G24" s="592">
        <f>IF($N$9="Ανοιχτός",'..'!F44,'..'!Y44)</f>
        <v>1.5</v>
      </c>
      <c r="H24" s="592">
        <f>IF($N$9="Ανοιχτός",'..'!G44,'..'!Z44)</f>
        <v>4.3999999999999995</v>
      </c>
      <c r="I24" s="592">
        <f>IF($N$9="Ανοιχτός",'..'!H44,'..'!AA44)</f>
        <v>0</v>
      </c>
      <c r="J24" s="592">
        <f>IF($N$9="Ανοιχτός",'..'!I44,'..'!AB44)</f>
        <v>1.2</v>
      </c>
      <c r="K24" s="592">
        <f>IF($N$9="Ανοιχτός",'..'!J44,'..'!AC44)</f>
        <v>9.4999999999999982</v>
      </c>
      <c r="L24" s="592">
        <f>IF($N$9="Ανοιχτός",'..'!K44,'..'!AD44)</f>
        <v>5.3999999999999995</v>
      </c>
      <c r="M24" s="592">
        <f>IF($N$9="Ανοιχτός",'..'!L44,'..'!AE44)</f>
        <v>2.3999999999999995</v>
      </c>
      <c r="N24" s="590"/>
      <c r="O24" s="525"/>
      <c r="P24" s="365"/>
    </row>
    <row r="25" spans="1:21" ht="28.5" customHeight="1" thickBot="1" x14ac:dyDescent="0.4">
      <c r="A25" s="583"/>
      <c r="B25" s="584"/>
      <c r="C25" s="653" t="s">
        <v>98</v>
      </c>
      <c r="D25" s="654"/>
      <c r="E25" s="593"/>
      <c r="F25" s="594" t="s">
        <v>99</v>
      </c>
      <c r="G25" s="595">
        <f>IF($N$9="Κλειστός",'..'!Y45,'..'!F45)</f>
        <v>1.810526315789474</v>
      </c>
      <c r="H25" s="596"/>
      <c r="I25" s="597" t="s">
        <v>101</v>
      </c>
      <c r="J25" s="595">
        <f>IF($N$9="Κλειστός",'..'!AB45,'..'!I45)</f>
        <v>1.7592592592592591</v>
      </c>
      <c r="K25" s="598"/>
      <c r="L25" s="599" t="s">
        <v>100</v>
      </c>
      <c r="M25" s="595">
        <f>IF($N$9="Κλειστός",'..'!AE45,'..'!L45)</f>
        <v>2.2500000000000004</v>
      </c>
      <c r="N25" s="600"/>
      <c r="O25" s="526"/>
      <c r="P25" s="463"/>
      <c r="Q25" s="88"/>
    </row>
    <row r="26" spans="1:21" ht="21" thickTop="1" x14ac:dyDescent="0.3">
      <c r="A26" s="339"/>
      <c r="B26" s="365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9"/>
      <c r="P26" s="369"/>
    </row>
    <row r="27" spans="1:21" ht="33.75" customHeight="1" x14ac:dyDescent="0.25"/>
    <row r="28" spans="1:21" ht="45" customHeight="1" thickBot="1" x14ac:dyDescent="0.35">
      <c r="A28" s="347"/>
      <c r="B28" s="348"/>
      <c r="C28" s="348"/>
      <c r="D28" s="348"/>
      <c r="E28" s="622" t="s">
        <v>79</v>
      </c>
      <c r="F28" s="623"/>
      <c r="G28" s="623"/>
      <c r="H28" s="623"/>
      <c r="I28" s="623"/>
      <c r="J28" s="623"/>
      <c r="K28" s="623"/>
      <c r="L28" s="623"/>
      <c r="M28" s="623"/>
      <c r="N28" s="349"/>
      <c r="O28" s="348"/>
    </row>
    <row r="29" spans="1:21" ht="25.5" thickTop="1" x14ac:dyDescent="0.5">
      <c r="A29" s="347"/>
      <c r="B29" s="99"/>
      <c r="D29" s="356" t="s">
        <v>20</v>
      </c>
      <c r="E29" s="100"/>
      <c r="F29" s="100"/>
      <c r="G29" s="101"/>
      <c r="H29" s="431"/>
      <c r="I29" s="370"/>
      <c r="J29" s="354" t="s">
        <v>22</v>
      </c>
      <c r="K29" s="102"/>
      <c r="L29" s="102"/>
      <c r="M29" s="102"/>
      <c r="N29" s="103"/>
      <c r="O29" s="350"/>
    </row>
    <row r="30" spans="1:21" ht="24.75" x14ac:dyDescent="0.5">
      <c r="A30" s="347"/>
      <c r="B30" s="404" t="str">
        <f>IF($N$9="Ανοιχτός",IF($N$10="Μαρούλι",'...'!AG72,"."),"")</f>
        <v>.</v>
      </c>
      <c r="C30" s="370"/>
      <c r="D30" s="371"/>
      <c r="E30" s="370"/>
      <c r="F30" s="370"/>
      <c r="G30" s="268"/>
      <c r="H30" s="432"/>
      <c r="I30" s="370"/>
      <c r="K30" s="92"/>
      <c r="L30" s="92"/>
      <c r="M30" s="372"/>
      <c r="N30" s="274"/>
      <c r="O30" s="350"/>
    </row>
    <row r="31" spans="1:21" ht="24.75" x14ac:dyDescent="0.5">
      <c r="A31" s="347"/>
      <c r="B31" s="404" t="str">
        <f>IF($N$9="Ανοιχτός",IF($N$10="Χρυσάνθεμο",'...'!AG72,"."),"")</f>
        <v>.</v>
      </c>
      <c r="C31" s="370"/>
      <c r="D31" s="371"/>
      <c r="E31" s="370"/>
      <c r="F31" s="370"/>
      <c r="G31" s="268"/>
      <c r="H31" s="432"/>
      <c r="I31" s="370"/>
      <c r="J31" s="268"/>
      <c r="K31" s="92"/>
      <c r="L31" s="92"/>
      <c r="M31" s="372"/>
      <c r="N31" s="274"/>
      <c r="O31" s="350"/>
      <c r="Q31" s="87"/>
      <c r="R31" s="87"/>
      <c r="S31" s="97"/>
      <c r="T31" s="97"/>
      <c r="U31" s="97"/>
    </row>
    <row r="32" spans="1:21" ht="21" thickBot="1" x14ac:dyDescent="0.35">
      <c r="A32" s="347"/>
      <c r="B32" s="403" t="str">
        <f>IF($N$9="Κλειστός",IF($N$10="Ανθούριο",'...'!AG73,"."),"")</f>
        <v/>
      </c>
      <c r="E32" s="92"/>
      <c r="F32" s="92"/>
      <c r="G32" s="92"/>
      <c r="H32" s="423"/>
      <c r="I32" s="92"/>
      <c r="J32" s="92"/>
      <c r="K32" s="92"/>
      <c r="L32" s="92"/>
      <c r="M32" s="92"/>
      <c r="N32" s="274"/>
      <c r="O32" s="351"/>
      <c r="Q32" s="90"/>
      <c r="R32" s="97"/>
      <c r="S32" s="88"/>
      <c r="T32" s="97"/>
      <c r="U32" s="97"/>
    </row>
    <row r="33" spans="1:21" ht="79.5" customHeight="1" thickBot="1" x14ac:dyDescent="0.35">
      <c r="A33" s="347"/>
      <c r="B33" s="629" t="s">
        <v>19</v>
      </c>
      <c r="C33" s="175" t="s">
        <v>21</v>
      </c>
      <c r="D33" s="632" t="s">
        <v>60</v>
      </c>
      <c r="E33" s="633"/>
      <c r="F33" s="429" t="s">
        <v>118</v>
      </c>
      <c r="G33" s="419" t="s">
        <v>77</v>
      </c>
      <c r="H33" s="423"/>
      <c r="I33" s="634" t="s">
        <v>19</v>
      </c>
      <c r="J33" s="250"/>
      <c r="K33" s="251" t="s">
        <v>21</v>
      </c>
      <c r="L33" s="275"/>
      <c r="M33" s="637" t="s">
        <v>78</v>
      </c>
      <c r="N33" s="274"/>
      <c r="O33" s="352"/>
      <c r="Q33" s="90"/>
      <c r="R33" s="88"/>
      <c r="S33" s="88"/>
      <c r="T33" s="88"/>
      <c r="U33" s="88"/>
    </row>
    <row r="34" spans="1:21" ht="27" customHeight="1" thickBot="1" x14ac:dyDescent="0.4">
      <c r="A34" s="347"/>
      <c r="B34" s="630"/>
      <c r="C34" s="176" t="s">
        <v>61</v>
      </c>
      <c r="D34" s="425">
        <f>IF($N$9="Κλειστός",'..'!AL34,'..'!S34)</f>
        <v>116.69399999999999</v>
      </c>
      <c r="E34" s="426"/>
      <c r="F34" s="430" t="s">
        <v>23</v>
      </c>
      <c r="G34" s="420"/>
      <c r="H34" s="423"/>
      <c r="I34" s="635"/>
      <c r="J34" s="105"/>
      <c r="K34" s="105"/>
      <c r="L34" s="106"/>
      <c r="M34" s="638"/>
      <c r="N34" s="274"/>
      <c r="O34" s="348"/>
      <c r="Q34" s="90"/>
      <c r="R34" s="88"/>
      <c r="S34" s="88"/>
      <c r="T34" s="88"/>
      <c r="U34" s="104"/>
    </row>
    <row r="35" spans="1:21" ht="27" thickBot="1" x14ac:dyDescent="0.4">
      <c r="A35" s="347"/>
      <c r="B35" s="630"/>
      <c r="C35" s="177" t="s">
        <v>62</v>
      </c>
      <c r="D35" s="425">
        <f>IF($N$9="Κλειστός",'..'!AL35,'..'!S35)</f>
        <v>59.111999999999988</v>
      </c>
      <c r="E35" s="426"/>
      <c r="F35" s="430" t="s">
        <v>23</v>
      </c>
      <c r="G35" s="421"/>
      <c r="H35" s="423"/>
      <c r="I35" s="635"/>
      <c r="J35" s="415" t="s">
        <v>24</v>
      </c>
      <c r="K35" s="416"/>
      <c r="L35" s="276"/>
      <c r="M35" s="277">
        <f>IF($N$9="Κλειστός",'..'!Z50,'..'!G50)</f>
        <v>1075</v>
      </c>
      <c r="N35" s="274"/>
      <c r="O35" s="348"/>
      <c r="Q35" s="90"/>
      <c r="R35" s="88"/>
      <c r="S35" s="88"/>
      <c r="T35" s="88"/>
      <c r="U35" s="88"/>
    </row>
    <row r="36" spans="1:21" ht="27" thickBot="1" x14ac:dyDescent="0.4">
      <c r="A36" s="347"/>
      <c r="B36" s="630"/>
      <c r="C36" s="178" t="s">
        <v>63</v>
      </c>
      <c r="D36" s="425">
        <f>IF($N$9="Κλειστός",'..'!AL36,'..'!S36)</f>
        <v>0</v>
      </c>
      <c r="E36" s="426"/>
      <c r="F36" s="430" t="s">
        <v>23</v>
      </c>
      <c r="G36" s="421"/>
      <c r="H36" s="423"/>
      <c r="I36" s="635"/>
      <c r="J36" s="415" t="s">
        <v>40</v>
      </c>
      <c r="K36" s="416"/>
      <c r="L36" s="276"/>
      <c r="M36" s="277">
        <f>IF($N$9="Κλειστός",'..'!Z51,'..'!G51)</f>
        <v>169</v>
      </c>
      <c r="N36" s="274"/>
      <c r="O36" s="348"/>
      <c r="Q36" s="90"/>
      <c r="R36" s="88"/>
      <c r="S36" s="88"/>
      <c r="T36" s="88"/>
      <c r="U36" s="88"/>
    </row>
    <row r="37" spans="1:21" ht="27" thickBot="1" x14ac:dyDescent="0.4">
      <c r="A37" s="347"/>
      <c r="B37" s="630"/>
      <c r="C37" s="177" t="s">
        <v>64</v>
      </c>
      <c r="D37" s="425">
        <f>IF($N$9="Κλειστός",'..'!AL37,'..'!S37)</f>
        <v>34.86</v>
      </c>
      <c r="E37" s="426"/>
      <c r="F37" s="430" t="s">
        <v>23</v>
      </c>
      <c r="G37" s="421"/>
      <c r="H37" s="423"/>
      <c r="I37" s="635"/>
      <c r="J37" s="415" t="s">
        <v>50</v>
      </c>
      <c r="K37" s="416"/>
      <c r="L37" s="276"/>
      <c r="M37" s="277">
        <f>IF($N$9="Κλειστός",'..'!Z52,'..'!G52)</f>
        <v>143.75</v>
      </c>
      <c r="N37" s="274"/>
      <c r="O37" s="348"/>
      <c r="Q37" s="90"/>
      <c r="R37" s="88"/>
      <c r="S37" s="88"/>
      <c r="T37" s="88"/>
      <c r="U37" s="88"/>
    </row>
    <row r="38" spans="1:21" ht="27" thickBot="1" x14ac:dyDescent="0.4">
      <c r="A38" s="347"/>
      <c r="B38" s="630"/>
      <c r="C38" s="177" t="s">
        <v>65</v>
      </c>
      <c r="D38" s="425">
        <f>IF($N$9="Κλειστός",'..'!AL38,'..'!S38)</f>
        <v>0.96000000000000085</v>
      </c>
      <c r="E38" s="426"/>
      <c r="F38" s="430" t="s">
        <v>23</v>
      </c>
      <c r="G38" s="421"/>
      <c r="H38" s="423"/>
      <c r="I38" s="635"/>
      <c r="J38" s="415" t="s">
        <v>26</v>
      </c>
      <c r="K38" s="416"/>
      <c r="L38" s="276"/>
      <c r="M38" s="277">
        <f>IF($N$9="Κλειστός",'..'!Z53,'..'!G53)</f>
        <v>238.24999999999997</v>
      </c>
      <c r="N38" s="274"/>
      <c r="O38" s="348"/>
      <c r="Q38" s="90"/>
      <c r="R38" s="88"/>
      <c r="S38" s="88"/>
      <c r="T38" s="88"/>
      <c r="U38" s="88"/>
    </row>
    <row r="39" spans="1:21" ht="27" thickBot="1" x14ac:dyDescent="0.4">
      <c r="A39" s="347"/>
      <c r="B39" s="630"/>
      <c r="C39" s="177" t="s">
        <v>66</v>
      </c>
      <c r="D39" s="425">
        <f>IF($N$9="Κλειστός",'..'!AL39,'..'!S39)</f>
        <v>0</v>
      </c>
      <c r="E39" s="427"/>
      <c r="F39" s="433">
        <v>85</v>
      </c>
      <c r="G39" s="418">
        <f>IF($N$9="Κλειστός",'..'!AN39,'..'!U39)</f>
        <v>0</v>
      </c>
      <c r="H39" s="423"/>
      <c r="I39" s="635"/>
      <c r="J39" s="415" t="s">
        <v>27</v>
      </c>
      <c r="K39" s="416"/>
      <c r="L39" s="276"/>
      <c r="M39" s="277">
        <f>IF($N$9="Κλειστός",'..'!Z54,'..'!G54)</f>
        <v>18.727499999999996</v>
      </c>
      <c r="N39" s="274"/>
      <c r="O39" s="348"/>
      <c r="Q39" s="90"/>
      <c r="R39" s="88"/>
      <c r="S39" s="88"/>
      <c r="T39" s="88"/>
      <c r="U39" s="88"/>
    </row>
    <row r="40" spans="1:21" ht="27" thickBot="1" x14ac:dyDescent="0.4">
      <c r="A40" s="347"/>
      <c r="B40" s="630"/>
      <c r="C40" s="177" t="s">
        <v>67</v>
      </c>
      <c r="D40" s="425">
        <f>IF($N$9="Κλειστός",'..'!AL40,'..'!S40)</f>
        <v>20.414999999999999</v>
      </c>
      <c r="E40" s="426"/>
      <c r="F40" s="430"/>
      <c r="G40" s="417"/>
      <c r="H40" s="423"/>
      <c r="I40" s="635"/>
      <c r="J40" s="415" t="s">
        <v>91</v>
      </c>
      <c r="K40" s="416"/>
      <c r="L40" s="276"/>
      <c r="M40" s="277">
        <f>IF($N$9="Κλειστός",'..'!Z55,'..'!G55)</f>
        <v>12.095000000000001</v>
      </c>
      <c r="N40" s="274"/>
      <c r="O40" s="348"/>
      <c r="Q40" s="90"/>
      <c r="R40" s="88"/>
      <c r="S40" s="88"/>
      <c r="T40" s="88"/>
      <c r="U40" s="88"/>
    </row>
    <row r="41" spans="1:21" ht="24" thickBot="1" x14ac:dyDescent="0.4">
      <c r="A41" s="347"/>
      <c r="B41" s="630"/>
      <c r="C41" s="177" t="s">
        <v>5</v>
      </c>
      <c r="D41" s="425">
        <f>IF($N$9="Κλειστός",'..'!AL41,'..'!S41)</f>
        <v>0</v>
      </c>
      <c r="E41" s="426"/>
      <c r="F41" s="430" t="s">
        <v>23</v>
      </c>
      <c r="G41" s="417"/>
      <c r="H41" s="423"/>
      <c r="I41" s="635"/>
      <c r="J41" s="434"/>
      <c r="K41" s="435"/>
      <c r="L41" s="435"/>
      <c r="M41" s="436"/>
      <c r="N41" s="274"/>
      <c r="O41" s="348"/>
      <c r="Q41" s="90"/>
      <c r="R41" s="88"/>
      <c r="S41" s="97"/>
      <c r="T41" s="88"/>
      <c r="U41" s="88"/>
    </row>
    <row r="42" spans="1:21" ht="27" thickBot="1" x14ac:dyDescent="0.4">
      <c r="A42" s="347"/>
      <c r="B42" s="630"/>
      <c r="C42" s="177" t="s">
        <v>68</v>
      </c>
      <c r="D42" s="425">
        <f>IF($N$9="Κλειστός",'..'!AL42,'..'!S42)</f>
        <v>40.439999999999984</v>
      </c>
      <c r="E42" s="426"/>
      <c r="F42" s="430" t="s">
        <v>23</v>
      </c>
      <c r="G42" s="417"/>
      <c r="H42" s="423"/>
      <c r="I42" s="636"/>
      <c r="J42" s="437"/>
      <c r="K42" s="438"/>
      <c r="L42" s="438"/>
      <c r="M42" s="439"/>
      <c r="N42" s="274"/>
      <c r="O42" s="348"/>
      <c r="Q42" s="90"/>
      <c r="R42" s="97"/>
      <c r="S42" s="97"/>
      <c r="T42" s="97"/>
      <c r="U42" s="97"/>
    </row>
    <row r="43" spans="1:21" ht="27" thickBot="1" x14ac:dyDescent="0.4">
      <c r="A43" s="347"/>
      <c r="B43" s="631"/>
      <c r="C43" s="179" t="s">
        <v>69</v>
      </c>
      <c r="D43" s="425">
        <f>IF($N$9="Κλειστός",'..'!AL43,'..'!S43)</f>
        <v>0</v>
      </c>
      <c r="E43" s="428"/>
      <c r="F43" s="433">
        <v>69</v>
      </c>
      <c r="G43" s="418">
        <f>IF($N$9="Κλειστός",'..'!AN43,'..'!U43)</f>
        <v>0</v>
      </c>
      <c r="H43" s="424"/>
      <c r="I43" s="422"/>
      <c r="J43" s="107"/>
      <c r="K43" s="107"/>
      <c r="L43" s="107"/>
      <c r="M43" s="107"/>
      <c r="N43" s="108"/>
      <c r="O43" s="351"/>
      <c r="Q43" s="98"/>
      <c r="R43" s="97"/>
      <c r="S43" s="97"/>
      <c r="T43" s="97"/>
      <c r="U43" s="97"/>
    </row>
    <row r="44" spans="1:21" ht="21" thickTop="1" x14ac:dyDescent="0.3">
      <c r="A44" s="347"/>
      <c r="B44" s="98"/>
      <c r="C44" s="98"/>
      <c r="D44" s="98"/>
      <c r="E44" s="109"/>
      <c r="F44" s="110"/>
      <c r="G44" s="98"/>
      <c r="H44" s="98"/>
      <c r="I44" s="98"/>
      <c r="J44" s="90"/>
      <c r="K44" s="93"/>
      <c r="L44" s="109"/>
      <c r="M44" s="110"/>
      <c r="N44" s="90"/>
      <c r="O44" s="351"/>
      <c r="Q44" s="98"/>
      <c r="R44" s="97"/>
      <c r="S44" s="97"/>
      <c r="T44" s="97"/>
      <c r="U44" s="97"/>
    </row>
    <row r="45" spans="1:21" ht="20.25" x14ac:dyDescent="0.3">
      <c r="A45" s="347"/>
      <c r="B45" s="272" t="s">
        <v>96</v>
      </c>
      <c r="C45" s="90"/>
      <c r="D45" s="90"/>
      <c r="E45" s="90"/>
      <c r="F45" s="98"/>
      <c r="G45" s="98"/>
      <c r="H45" s="97"/>
      <c r="I45" s="97"/>
      <c r="J45" s="97"/>
      <c r="K45" s="97"/>
      <c r="O45" s="347"/>
      <c r="Q45" s="98"/>
      <c r="R45" s="97"/>
      <c r="S45" s="97"/>
      <c r="T45" s="97"/>
      <c r="U45" s="97"/>
    </row>
    <row r="46" spans="1:21" ht="20.25" x14ac:dyDescent="0.3">
      <c r="A46" s="347"/>
      <c r="B46" s="351"/>
      <c r="C46" s="351"/>
      <c r="D46" s="351"/>
      <c r="E46" s="351"/>
      <c r="F46" s="351"/>
      <c r="G46" s="351"/>
      <c r="H46" s="353"/>
      <c r="I46" s="353"/>
      <c r="J46" s="353"/>
      <c r="K46" s="353"/>
      <c r="L46" s="347"/>
      <c r="M46" s="347"/>
      <c r="N46" s="347"/>
      <c r="O46" s="347"/>
      <c r="Q46" s="98"/>
      <c r="R46" s="97"/>
      <c r="S46" s="97"/>
      <c r="T46" s="97"/>
      <c r="U46" s="97"/>
    </row>
    <row r="47" spans="1:21" ht="20.25" x14ac:dyDescent="0.3">
      <c r="B47" s="90"/>
      <c r="C47" s="90"/>
      <c r="D47" s="90"/>
      <c r="E47" s="90"/>
      <c r="F47" s="98"/>
      <c r="G47" s="98"/>
      <c r="H47" s="97"/>
      <c r="I47" s="97"/>
      <c r="J47" s="97"/>
      <c r="K47" s="97"/>
      <c r="Q47" s="98"/>
      <c r="R47" s="97"/>
      <c r="S47" s="97"/>
      <c r="T47" s="97"/>
      <c r="U47" s="97"/>
    </row>
    <row r="48" spans="1:21" ht="20.25" x14ac:dyDescent="0.3">
      <c r="B48" s="414" t="str">
        <f>'...'!D74</f>
        <v>Στοιχεία κυρίως από:</v>
      </c>
      <c r="C48" s="90"/>
      <c r="D48" s="90"/>
      <c r="E48" s="90"/>
      <c r="F48" s="90"/>
      <c r="G48" s="90"/>
      <c r="H48" s="97"/>
      <c r="I48" s="97"/>
      <c r="J48" s="97"/>
      <c r="K48" s="97"/>
      <c r="Q48" s="98"/>
      <c r="R48" s="97"/>
      <c r="S48" s="97"/>
      <c r="T48" s="97"/>
      <c r="U48" s="97"/>
    </row>
    <row r="49" spans="2:21" ht="20.25" x14ac:dyDescent="0.3">
      <c r="B49" s="408" t="str">
        <f>'...'!D75</f>
        <v>Plant Nutrition of Greenhouse Crops των Cees Sonneveld · Wim Voogt</v>
      </c>
      <c r="C49" s="90"/>
      <c r="D49" s="90"/>
      <c r="E49" s="90"/>
      <c r="F49" s="90"/>
      <c r="G49" s="90"/>
      <c r="H49" s="97"/>
      <c r="I49" s="97"/>
      <c r="J49" s="97"/>
      <c r="K49" s="97"/>
      <c r="Q49" s="90"/>
      <c r="R49" s="97"/>
      <c r="S49" s="97"/>
      <c r="T49" s="97"/>
      <c r="U49" s="97"/>
    </row>
    <row r="50" spans="2:21" ht="20.25" x14ac:dyDescent="0.3">
      <c r="B50" s="408" t="str">
        <f>'...'!D76</f>
        <v>© Springer Science+Business Media B.V. 2009</v>
      </c>
      <c r="C50" s="90"/>
      <c r="D50" s="90"/>
      <c r="E50" s="90"/>
      <c r="F50" s="90"/>
      <c r="G50" s="90"/>
      <c r="H50" s="97"/>
      <c r="I50" s="97"/>
      <c r="J50" s="97"/>
      <c r="K50" s="97"/>
      <c r="Q50" s="90"/>
      <c r="R50" s="97"/>
      <c r="S50" s="97"/>
      <c r="T50" s="97"/>
      <c r="U50" s="97"/>
    </row>
    <row r="51" spans="2:21" ht="20.25" x14ac:dyDescent="0.3">
      <c r="B51" s="408" t="str">
        <f>'...'!D77</f>
        <v>και πολλών άλλων πηγών</v>
      </c>
      <c r="C51" s="90"/>
      <c r="D51" s="90"/>
      <c r="E51" s="90"/>
      <c r="F51" s="90"/>
      <c r="G51" s="90"/>
      <c r="H51" s="97"/>
      <c r="I51" s="97"/>
      <c r="J51" s="97"/>
      <c r="K51" s="97"/>
      <c r="Q51" s="90"/>
      <c r="R51" s="97"/>
      <c r="S51" s="97"/>
      <c r="T51" s="97"/>
      <c r="U51" s="97"/>
    </row>
    <row r="52" spans="2:21" ht="20.25" x14ac:dyDescent="0.3">
      <c r="B52" s="408"/>
      <c r="C52" s="90"/>
      <c r="D52" s="90"/>
      <c r="E52" s="90"/>
      <c r="F52" s="90"/>
      <c r="G52" s="90"/>
      <c r="H52" s="97"/>
      <c r="I52" s="97"/>
      <c r="J52" s="97"/>
      <c r="K52" s="97"/>
      <c r="Q52" s="90"/>
      <c r="R52" s="97"/>
      <c r="S52" s="97"/>
      <c r="T52" s="97"/>
      <c r="U52" s="97"/>
    </row>
    <row r="53" spans="2:21" ht="20.25" x14ac:dyDescent="0.3">
      <c r="B53" s="408" t="str">
        <f>'...'!D79</f>
        <v>Δημιουργία του  προγράμματος και προσαρμογή των στοιχείων:</v>
      </c>
      <c r="C53" s="90"/>
      <c r="D53" s="90"/>
      <c r="E53" s="90"/>
      <c r="F53" s="90"/>
      <c r="G53" s="90"/>
      <c r="H53" s="97"/>
      <c r="I53" s="97"/>
      <c r="J53" s="97"/>
      <c r="K53" s="97"/>
      <c r="Q53" s="90"/>
      <c r="R53" s="97"/>
      <c r="S53" s="97"/>
      <c r="T53" s="97"/>
      <c r="U53" s="97"/>
    </row>
    <row r="54" spans="2:21" ht="20.25" x14ac:dyDescent="0.3">
      <c r="B54" s="408" t="str">
        <f>'...'!D80</f>
        <v>Γ. Ν. Μαυρογιαννόπουλος</v>
      </c>
      <c r="C54" s="90"/>
      <c r="D54" s="90"/>
      <c r="E54" s="90"/>
      <c r="F54" s="90"/>
      <c r="G54" s="90"/>
      <c r="H54" s="97"/>
      <c r="I54" s="97"/>
      <c r="J54" s="97"/>
      <c r="K54" s="97"/>
      <c r="Q54" s="90"/>
      <c r="R54" s="97"/>
      <c r="S54" s="97"/>
      <c r="T54" s="97"/>
      <c r="U54" s="97"/>
    </row>
    <row r="55" spans="2:21" ht="20.25" x14ac:dyDescent="0.3">
      <c r="B55" s="408" t="str">
        <f>'...'!D81</f>
        <v>e-mail: mavrog.g@gmail.com</v>
      </c>
      <c r="C55" s="90"/>
      <c r="D55" s="90"/>
      <c r="E55" s="90"/>
      <c r="F55" s="90"/>
      <c r="G55" s="90"/>
      <c r="H55" s="97"/>
      <c r="I55" s="97"/>
      <c r="J55" s="97"/>
      <c r="K55" s="97"/>
      <c r="Q55" s="90"/>
      <c r="R55" s="97"/>
      <c r="S55" s="97"/>
      <c r="T55" s="97"/>
      <c r="U55" s="97"/>
    </row>
    <row r="56" spans="2:21" ht="20.25" x14ac:dyDescent="0.3">
      <c r="B56" s="90"/>
      <c r="C56" s="111"/>
      <c r="D56" s="93"/>
      <c r="E56" s="98"/>
      <c r="F56" s="98"/>
      <c r="G56" s="98"/>
      <c r="H56" s="97"/>
      <c r="I56" s="97"/>
      <c r="J56" s="97"/>
      <c r="K56" s="97"/>
      <c r="Q56" s="90"/>
      <c r="R56" s="97"/>
      <c r="S56" s="97"/>
      <c r="T56" s="97"/>
      <c r="U56" s="97"/>
    </row>
    <row r="57" spans="2:21" ht="20.25" x14ac:dyDescent="0.3">
      <c r="B57" s="98"/>
      <c r="C57" s="111"/>
      <c r="D57" s="87"/>
      <c r="E57" s="98"/>
      <c r="F57" s="98"/>
      <c r="G57" s="98"/>
      <c r="H57" s="97"/>
      <c r="I57" s="104"/>
      <c r="J57" s="104"/>
      <c r="K57" s="104"/>
      <c r="Q57" s="98"/>
      <c r="R57" s="97"/>
      <c r="S57" s="104"/>
      <c r="T57" s="97"/>
      <c r="U57" s="97"/>
    </row>
    <row r="58" spans="2:21" ht="20.25" x14ac:dyDescent="0.3">
      <c r="B58" s="90"/>
      <c r="C58" s="90"/>
      <c r="D58" s="90"/>
      <c r="E58" s="112"/>
      <c r="F58" s="98"/>
      <c r="G58" s="112"/>
      <c r="H58" s="97"/>
      <c r="I58" s="104"/>
      <c r="J58" s="104"/>
      <c r="K58" s="104"/>
      <c r="Q58" s="98"/>
      <c r="R58" s="97"/>
      <c r="S58" s="104"/>
      <c r="T58" s="104"/>
      <c r="U58" s="104"/>
    </row>
    <row r="59" spans="2:21" ht="20.25" x14ac:dyDescent="0.3">
      <c r="B59" s="89"/>
      <c r="C59" s="89"/>
      <c r="D59" s="89"/>
      <c r="E59" s="89"/>
      <c r="F59" s="89"/>
      <c r="G59" s="89"/>
      <c r="H59" s="89"/>
      <c r="I59" s="89"/>
      <c r="J59" s="89"/>
      <c r="K59" s="90"/>
      <c r="L59" s="90"/>
      <c r="M59" s="98"/>
      <c r="N59" s="98"/>
      <c r="O59" s="112"/>
      <c r="P59" s="98"/>
      <c r="Q59" s="112"/>
      <c r="R59" s="97"/>
      <c r="T59" s="104"/>
      <c r="U59" s="104"/>
    </row>
  </sheetData>
  <protectedRanges>
    <protectedRange sqref="A48:D48" name="Περιοχή1"/>
  </protectedRanges>
  <dataConsolidate>
    <dataRefs count="1">
      <dataRef name="O5-O14"/>
    </dataRefs>
  </dataConsolidate>
  <mergeCells count="23">
    <mergeCell ref="D3:O3"/>
    <mergeCell ref="N10:P10"/>
    <mergeCell ref="N11:P11"/>
    <mergeCell ref="C17:D17"/>
    <mergeCell ref="C20:D20"/>
    <mergeCell ref="C6:E6"/>
    <mergeCell ref="C7:E7"/>
    <mergeCell ref="E28:M28"/>
    <mergeCell ref="C18:D18"/>
    <mergeCell ref="N9:P9"/>
    <mergeCell ref="B33:B43"/>
    <mergeCell ref="D33:E33"/>
    <mergeCell ref="I33:I42"/>
    <mergeCell ref="M33:M34"/>
    <mergeCell ref="C12:D12"/>
    <mergeCell ref="C23:D23"/>
    <mergeCell ref="C19:D19"/>
    <mergeCell ref="C21:D21"/>
    <mergeCell ref="C13:D13"/>
    <mergeCell ref="A23:B23"/>
    <mergeCell ref="C24:D24"/>
    <mergeCell ref="C25:D25"/>
    <mergeCell ref="A24:B24"/>
  </mergeCells>
  <dataValidations count="3">
    <dataValidation type="whole" allowBlank="1" showInputMessage="1" showErrorMessage="1" sqref="O26:P26" xr:uid="{00000000-0002-0000-0000-000000000000}">
      <formula1>1</formula1>
      <formula2>10</formula2>
    </dataValidation>
    <dataValidation allowBlank="1" showInputMessage="1" showErrorMessage="1" promptTitle="Είδος φυτού" sqref="R32" xr:uid="{00000000-0002-0000-0000-000001000000}"/>
    <dataValidation type="list" allowBlank="1" showInputMessage="1" showErrorMessage="1" sqref="N10:P10" xr:uid="{00000000-0002-0000-0000-000002000000}">
      <formula1>ΚαλλιέργειαHDR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'...'!$AI$67:$AI$68</xm:f>
          </x14:formula1>
          <xm:sqref>N9:P9</xm:sqref>
        </x14:dataValidation>
        <x14:dataValidation type="list" allowBlank="1" showInputMessage="1" showErrorMessage="1" xr:uid="{00000000-0002-0000-0000-000004000000}">
          <x14:formula1>
            <xm:f>'...'!$AI$62:$AI$65</xm:f>
          </x14:formula1>
          <xm:sqref>N11:P11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AN90"/>
  <sheetViews>
    <sheetView topLeftCell="A19" zoomScale="86" zoomScaleNormal="86" workbookViewId="0">
      <selection activeCell="J3" sqref="J3"/>
    </sheetView>
  </sheetViews>
  <sheetFormatPr defaultRowHeight="15" x14ac:dyDescent="0.25"/>
  <cols>
    <col min="2" max="2" width="20.140625" customWidth="1"/>
    <col min="3" max="3" width="27.7109375" customWidth="1"/>
    <col min="4" max="4" width="11.140625" customWidth="1"/>
    <col min="5" max="5" width="10.7109375" customWidth="1"/>
    <col min="6" max="6" width="11" customWidth="1"/>
    <col min="7" max="7" width="11.42578125" bestFit="1" customWidth="1"/>
    <col min="8" max="8" width="13.140625" customWidth="1"/>
    <col min="10" max="10" width="11.5703125" customWidth="1"/>
    <col min="11" max="11" width="11.42578125" customWidth="1"/>
    <col min="12" max="12" width="11.28515625" customWidth="1"/>
    <col min="16" max="16" width="9.140625" customWidth="1"/>
    <col min="17" max="17" width="11.42578125" bestFit="1" customWidth="1"/>
    <col min="18" max="18" width="14.85546875" bestFit="1" customWidth="1"/>
    <col min="19" max="19" width="14.28515625" customWidth="1"/>
    <col min="20" max="20" width="9.85546875" bestFit="1" customWidth="1"/>
    <col min="21" max="21" width="8.85546875" customWidth="1"/>
    <col min="22" max="22" width="22.28515625" customWidth="1"/>
    <col min="24" max="24" width="11.85546875" customWidth="1"/>
    <col min="25" max="25" width="10.5703125" customWidth="1"/>
    <col min="26" max="26" width="12.140625" customWidth="1"/>
    <col min="27" max="27" width="12" customWidth="1"/>
    <col min="28" max="28" width="11.140625" customWidth="1"/>
    <col min="29" max="29" width="11" customWidth="1"/>
    <col min="33" max="33" width="12.28515625" bestFit="1" customWidth="1"/>
    <col min="34" max="34" width="14" customWidth="1"/>
    <col min="35" max="35" width="11.42578125" bestFit="1" customWidth="1"/>
    <col min="36" max="36" width="12.140625" customWidth="1"/>
    <col min="37" max="37" width="13.7109375" customWidth="1"/>
    <col min="38" max="38" width="12.85546875" customWidth="1"/>
    <col min="39" max="39" width="14.42578125" bestFit="1" customWidth="1"/>
    <col min="40" max="40" width="9.85546875" bestFit="1" customWidth="1"/>
  </cols>
  <sheetData>
    <row r="2" spans="3:36" ht="21" thickBot="1" x14ac:dyDescent="0.35">
      <c r="G2" s="315"/>
      <c r="X2" s="315"/>
    </row>
    <row r="3" spans="3:36" ht="18" x14ac:dyDescent="0.25">
      <c r="C3" s="136">
        <f>IF(Δεδομένα!N10="Aγγούρι ",1,IF(Δεδομένα!N10="Τομάτα",2,IF(Δεδομένα!N10="Μελιτζάνα",3,IF(Δεδομένα!N10="Πιπεριά",4,IF(Δεδομένα!N10="Μαρούλι",5,IF(Δεδομένα!N10="Ανθούριο",6,IF(Δεδομένα!N10="Τριανταφυλλιά",7,IF(Δεδομένα!N10="Ζέρμπερα",8,IF(Δεδομένα!N10="Χρυσάνθεμο",9,"-")))))))))</f>
        <v>2</v>
      </c>
      <c r="D3" s="118"/>
      <c r="E3" s="118"/>
      <c r="F3" s="118"/>
      <c r="G3" s="118"/>
      <c r="H3" s="118"/>
      <c r="I3" s="118"/>
      <c r="J3" s="118"/>
      <c r="K3" s="118"/>
    </row>
    <row r="4" spans="3:36" ht="22.5" customHeight="1" x14ac:dyDescent="0.25">
      <c r="C4" s="135">
        <f xml:space="preserve"> IF( Δεδομένα!N11 ="Αρχή ανάπτυξης",0,IF(Δεδομένα!N11="Βασική συνταγή",1,IF(Δεδομένα!N11="Πλήρης καρποφορία",2,IF(Δεδομένα!N11="Προς το τέλος",3, " "))))</f>
        <v>1</v>
      </c>
      <c r="D4" s="118"/>
      <c r="E4" s="118"/>
      <c r="F4" s="118"/>
      <c r="G4" s="601" t="str">
        <f>Δεδομένα!P7</f>
        <v>N</v>
      </c>
      <c r="H4" s="118"/>
      <c r="I4" s="118"/>
      <c r="J4" s="118"/>
      <c r="K4" s="118"/>
    </row>
    <row r="5" spans="3:36" ht="18.75" thickBot="1" x14ac:dyDescent="0.3">
      <c r="C5" s="137">
        <f>Δεδομένα!N14</f>
        <v>2.63</v>
      </c>
      <c r="D5" s="118"/>
      <c r="E5" s="118"/>
      <c r="F5" s="118"/>
      <c r="G5" s="118"/>
      <c r="H5" s="118"/>
      <c r="I5" s="118"/>
      <c r="J5" s="118"/>
      <c r="K5" s="118"/>
    </row>
    <row r="7" spans="3:36" ht="15.75" x14ac:dyDescent="0.25">
      <c r="D7" s="384"/>
      <c r="L7" s="118"/>
      <c r="N7" s="384"/>
      <c r="O7" s="384"/>
    </row>
    <row r="8" spans="3:36" ht="21" thickBot="1" x14ac:dyDescent="0.3">
      <c r="D8" s="384"/>
      <c r="E8" s="608">
        <f>Δεδομένα!$F$7</f>
        <v>0</v>
      </c>
      <c r="F8" s="608">
        <f>Δεδομένα!$G$7</f>
        <v>0</v>
      </c>
      <c r="G8" s="608">
        <f>Δεδομένα!$H$7</f>
        <v>0</v>
      </c>
      <c r="H8" s="608"/>
      <c r="I8" s="608">
        <f>Δεδομένα!$J$7</f>
        <v>0</v>
      </c>
      <c r="J8" s="608">
        <f>Δεδομένα!$K$7</f>
        <v>0</v>
      </c>
      <c r="K8" s="608">
        <f>Δεδομένα!$L$7</f>
        <v>0</v>
      </c>
      <c r="L8" s="608">
        <f>Δεδομένα!$M$7</f>
        <v>0</v>
      </c>
      <c r="M8" s="608"/>
      <c r="N8" s="608"/>
      <c r="X8" s="608">
        <f>Δεδομένα!$F$7</f>
        <v>0</v>
      </c>
      <c r="Y8" s="608">
        <f>Δεδομένα!$G$7</f>
        <v>0</v>
      </c>
      <c r="Z8" s="608">
        <f>Δεδομένα!$H$7</f>
        <v>0</v>
      </c>
      <c r="AA8" s="608"/>
      <c r="AB8" s="608">
        <f>Δεδομένα!$J$7</f>
        <v>0</v>
      </c>
      <c r="AC8" s="608">
        <f>Δεδομένα!$K$7</f>
        <v>0</v>
      </c>
      <c r="AD8" s="608">
        <f>Δεδομένα!$L$7</f>
        <v>0</v>
      </c>
      <c r="AE8" s="608">
        <f>Δεδομένα!$M$7</f>
        <v>0</v>
      </c>
      <c r="AF8" s="602"/>
      <c r="AG8" s="602"/>
    </row>
    <row r="9" spans="3:36" ht="21.75" thickBot="1" x14ac:dyDescent="0.3">
      <c r="E9" s="604">
        <f xml:space="preserve"> IF($C$3=1,'...'!D5, IF($C$3=2,'...'!D11, IF($C$3=3,'...'!D17, IF($C$3=4,'...'!D23, IF($C$3=5,'...'!D29, IF($C$3=6,'...'!D35, IF($C$3=7,'...'!D41, IF($C$3=8,'...'!D47, IF($C$3=9,'...'!D53, )))))))))</f>
        <v>16</v>
      </c>
      <c r="F9" s="604">
        <f xml:space="preserve"> IF($C$3=1,'...'!E5, IF($C$3=2,'...'!E11, IF($C$3=3,'...'!E17, IF($C$3=4,'...'!E23, IF($C$3=5,'...'!E29, IF($C$3=6,'...'!E35, IF($C$3=7,'...'!E41, IF($C$3=8,'...'!E47, IF($C$3=9,'...'!E53, )))))))))</f>
        <v>1.5</v>
      </c>
      <c r="G9" s="605">
        <f xml:space="preserve"> IF($C$3=1,'...'!F5, IF($C$3=2,'...'!F11, IF($C$3=3,'...'!F17, IF($C$3=4,'...'!F23, IF($C$3=5,'...'!F29, IF($C$3=6,'...'!F35, IF($C$3=7,'...'!F41, IF($C$3=8,'...'!F47, IF($C$3=9,'...'!F53, )))))))))</f>
        <v>4.4000000000000004</v>
      </c>
      <c r="H9" s="393"/>
      <c r="I9" s="606">
        <f xml:space="preserve"> IF($C$3=1,'...'!G5, IF($C$3=2,'...'!G11, IF($C$3=3,'...'!G17, IF($C$3=4,'...'!G23, IF($C$3=5,'...'!G29, IF($C$3=6,'...'!G35, IF($C$3=7,'...'!G41, IF($C$3=8,'...'!G47, IF($C$3=9,'...'!G53, )))))))))</f>
        <v>1.2</v>
      </c>
      <c r="J9" s="604">
        <f xml:space="preserve"> IF($C$3=1,'...'!H5, IF($C$3=2,'...'!H11, IF($C$3=3,'...'!H17, IF($C$3=4,'...'!H23, IF($C$3=5,'...'!H29, IF($C$3=6,'...'!H35, IF($C$3=7,'...'!H41, IF($C$3=8,'...'!H47, IF($C$3=9,'...'!H53, )))))))))</f>
        <v>7.5</v>
      </c>
      <c r="K9" s="604">
        <f xml:space="preserve"> IF($C$3=1,'...'!I5, IF($C$3=2,'...'!I11, IF($C$3=3,'...'!I17, IF($C$3=4,'...'!I23, IF($C$3=5,'...'!I29, IF($C$3=6,'...'!I35, IF($C$3=7,'...'!I41, IF($C$3=8,'...'!I47, IF($C$3=9,'...'!I53, )))))))))</f>
        <v>6</v>
      </c>
      <c r="L9" s="604">
        <f xml:space="preserve"> IF($C$3=1,'...'!J5, IF($C$3=2,'...'!J11, IF($C$3=3,'...'!J17, IF($C$3=4,'...'!J23, IF($C$3=5,'...'!J29, IF($C$3=6,'...'!J35, IF($C$3=7,'...'!J41, IF($C$3=8,'...'!J47, IF($C$3=9,'...'!J53, )))))))))</f>
        <v>2.8</v>
      </c>
      <c r="M9" s="604"/>
      <c r="N9" s="605"/>
      <c r="O9" s="319"/>
      <c r="P9" s="127">
        <f>IF(E9&gt;0,(E9+F9+G9*2),0.00001)</f>
        <v>26.3</v>
      </c>
      <c r="Q9" s="3">
        <f>IF(J9&gt;0,(I9+J9+K9*2+L9*2),0.0001)</f>
        <v>26.299999999999997</v>
      </c>
      <c r="X9" s="603">
        <f xml:space="preserve"> IF($C$3=1,'...'!T5, IF($C$3=2,'...'!T11, IF($C$3=3,'...'!T17, IF($C$3=4,'...'!T23, IF($C$3=5,'...'!T29, IF($C$3=6,'...'!T35, IF($C$3=7,'...'!T41, IF($C$3=8,'...'!T47, IF($C$3=9,'...'!T53, )))))))))</f>
        <v>10.75</v>
      </c>
      <c r="Y9" s="604">
        <f xml:space="preserve"> IF($C$3=1,'...'!U5, IF($C$3=2,'...'!U11, IF($C$3=3,'...'!U17, IF($C$3=4,'...'!U23, IF($C$3=5,'...'!U29, IF($C$3=6,'...'!U35, IF($C$3=7,'...'!U41, IF($C$3=8,'...'!U47, IF($C$3=9,'...'!U53, )))))))))</f>
        <v>1.25</v>
      </c>
      <c r="Z9" s="605">
        <f xml:space="preserve"> IF($C$3=1,'...'!V5, IF($C$3=2,'...'!V11, IF($C$3=3,'...'!V17, IF($C$3=4,'...'!V23, IF($C$3=5,'...'!V29, IF($C$3=6,'...'!V35, IF($C$3=7,'...'!V41, IF($C$3=8,'...'!V47, IF($C$3=9,'...'!V53, )))))))))</f>
        <v>1.5</v>
      </c>
      <c r="AA9" s="393"/>
      <c r="AB9" s="606">
        <f xml:space="preserve"> IF($C$3=1,'...'!W5, IF($C$3=2,'...'!W11, IF($C$3=3,'...'!W17, IF($C$3=4,'...'!W23, IF($C$3=5,'...'!W29, IF($C$3=6,'...'!W35, IF($C$3=7,'...'!W41, IF($C$3=8,'...'!W47, IF($C$3=9,'...'!W53, )))))))))</f>
        <v>1</v>
      </c>
      <c r="AC9" s="604">
        <f xml:space="preserve"> IF($C$3=1,'...'!X5, IF($C$3=2,'...'!X11, IF($C$3=3,'...'!X17, IF($C$3=4,'...'!X23, IF($C$3=5,'...'!X29, IF($C$3=6,'...'!X35, IF($C$3=7,'...'!X41, IF($C$3=8,'...'!X47, IF($C$3=9,'...'!X53, )))))))))</f>
        <v>5.3</v>
      </c>
      <c r="AD9" s="604">
        <f xml:space="preserve"> IF($C$3=1,'...'!Y5, IF($C$3=2,'...'!Y11, IF($C$3=3,'...'!Y17, IF($C$3=4,'...'!Y23, IF($C$3=5,'...'!Y29, IF($C$3=6,'...'!Y35, IF($C$3=7,'...'!Y41, IF($C$3=8,'...'!Y47, IF($C$3=9,'...'!Y53, )))))))))</f>
        <v>3.05</v>
      </c>
      <c r="AE9" s="607">
        <f xml:space="preserve"> IF($C$3=1,'...'!Z5, IF($C$3=2,'...'!Z11, IF($C$3=3,'...'!Z17, IF($C$3=4,'...'!Z23, IF($C$3=5,'...'!Z29, IF($C$3=6,'...'!Z35, IF($C$3=7,'...'!Z41, IF($C$3=8,'...'!Z47, IF($C$3=9,'...'!Z53, )))))))))</f>
        <v>1.3</v>
      </c>
      <c r="AI9" s="127">
        <f>IF(X9&gt;0,(X9+Y9+Z9*2),0.00001)</f>
        <v>15</v>
      </c>
      <c r="AJ9" s="3">
        <f>IF(AC9&gt;0,(AB9+AC9+AD9*2+AE9*2),0.00001)</f>
        <v>14.999999999999998</v>
      </c>
    </row>
    <row r="10" spans="3:36" ht="21.75" thickBot="1" x14ac:dyDescent="0.3">
      <c r="E10" s="128">
        <f xml:space="preserve"> IF($C$3=1,'...'!D6, IF($C$3=2,'...'!D12, IF($C$3=3,'...'!D18, IF($C$3=4,'...'!D24, IF($C$3=5,'...'!D30, IF($C$3=6,'...'!D36, IF($C$3=7,'...'!D42, IF($C$3=8,'...'!D48, IF($C$3=9,'...'!D54, )))))))))</f>
        <v>16</v>
      </c>
      <c r="F10" s="128">
        <f xml:space="preserve"> IF($C$3=1,'...'!E6, IF($C$3=2,'...'!E12, IF($C$3=3,'...'!E18, IF($C$3=4,'...'!E24, IF($C$3=5,'...'!E30, IF($C$3=6,'...'!E36, IF($C$3=7,'...'!E42, IF($C$3=8,'...'!E48, IF($C$3=9,'...'!E54, )))))))))</f>
        <v>1.5</v>
      </c>
      <c r="G10" s="209">
        <f xml:space="preserve"> IF($C$3=1,'...'!F6, IF($C$3=2,'...'!F12, IF($C$3=3,'...'!F18, IF($C$3=4,'...'!F24, IF($C$3=5,'...'!F30, IF($C$3=6,'...'!F36, IF($C$3=7,'...'!F42, IF($C$3=8,'...'!F48, IF($C$3=9,'...'!F54, )))))))))</f>
        <v>4.4000000000000004</v>
      </c>
      <c r="H10" s="393"/>
      <c r="I10" s="468">
        <f xml:space="preserve"> IF($C$3=1,'...'!G6, IF($C$3=2,'...'!G12, IF($C$3=3,'...'!G18, IF($C$3=4,'...'!G24, IF($C$3=5,'...'!G30, IF($C$3=6,'...'!G36, IF($C$3=7,'...'!G42, IF($C$3=8,'...'!G48, IF($C$3=9,'...'!G54, )))))))))</f>
        <v>1.2</v>
      </c>
      <c r="J10" s="128">
        <f xml:space="preserve"> IF($C$3=1,'...'!H6, IF($C$3=2,'...'!H12, IF($C$3=3,'...'!H18, IF($C$3=4,'...'!H24, IF($C$3=5,'...'!H30, IF($C$3=6,'...'!H36, IF($C$3=7,'...'!H42, IF($C$3=8,'...'!H48, IF($C$3=9,'...'!H54, )))))))))</f>
        <v>9.5</v>
      </c>
      <c r="K10" s="128">
        <f xml:space="preserve"> IF($C$3=1,'...'!I6, IF($C$3=2,'...'!I12, IF($C$3=3,'...'!I18, IF($C$3=4,'...'!I24, IF($C$3=5,'...'!I30, IF($C$3=6,'...'!I36, IF($C$3=7,'...'!I42, IF($C$3=8,'...'!I48, IF($C$3=9,'...'!I54, )))))))))</f>
        <v>5.4</v>
      </c>
      <c r="L10" s="128">
        <f xml:space="preserve"> IF($C$3=1,'...'!J6, IF($C$3=2,'...'!J12, IF($C$3=3,'...'!J18, IF($C$3=4,'...'!J24, IF($C$3=5,'...'!J30, IF($C$3=6,'...'!J36, IF($C$3=7,'...'!J42, IF($C$3=8,'...'!J48, IF($C$3=9,'...'!J54, )))))))))</f>
        <v>2.4</v>
      </c>
      <c r="M10" s="209"/>
      <c r="N10" s="316"/>
      <c r="O10" s="320"/>
      <c r="P10" s="127">
        <f>E10+F10+G10*2</f>
        <v>26.3</v>
      </c>
      <c r="Q10" s="3">
        <f>I10+J10+K10*2+L10*2</f>
        <v>26.3</v>
      </c>
      <c r="X10" s="285">
        <f xml:space="preserve"> IF($C$3=1,'...'!T6, IF($C$3=2,'...'!T12, IF($C$3=3,'...'!T18, IF($C$3=4,'...'!T24, IF($C$3=5,'...'!T30, IF($C$3=6,'...'!T36, IF($C$3=7,'...'!T42, IF($C$3=8,'...'!T48, IF($C$3=9,'...'!T54, )))))))))</f>
        <v>10.75</v>
      </c>
      <c r="Y10" s="128">
        <f xml:space="preserve"> IF($C$3=1,'...'!U6, IF($C$3=2,'...'!U12, IF($C$3=3,'...'!U18, IF($C$3=4,'...'!U24, IF($C$3=5,'...'!U30, IF($C$3=6,'...'!U36, IF($C$3=7,'...'!U42, IF($C$3=8,'...'!U48, IF($C$3=9,'...'!U54, )))))))))</f>
        <v>1.25</v>
      </c>
      <c r="Z10" s="209">
        <f xml:space="preserve"> IF($C$3=1,'...'!V6, IF($C$3=2,'...'!V12, IF($C$3=3,'...'!V18, IF($C$3=4,'...'!V24, IF($C$3=5,'...'!V30, IF($C$3=6,'...'!V36, IF($C$3=7,'...'!V42, IF($C$3=8,'...'!V48, IF($C$3=9,'...'!V54, )))))))))</f>
        <v>1.5</v>
      </c>
      <c r="AA10" s="393"/>
      <c r="AB10" s="468">
        <f xml:space="preserve"> IF($C$3=1,'...'!W6, IF($C$3=2,'...'!W12, IF($C$3=3,'...'!W18, IF($C$3=4,'...'!W24, IF($C$3=5,'...'!W30, IF($C$3=6,'...'!W36, IF($C$3=7,'...'!W42, IF($C$3=8,'...'!W48, IF($C$3=9,'...'!W54, )))))))))</f>
        <v>1</v>
      </c>
      <c r="AC10" s="128">
        <f xml:space="preserve"> IF($C$3=1,'...'!X6, IF($C$3=2,'...'!X12, IF($C$3=3,'...'!X18, IF($C$3=4,'...'!X24, IF($C$3=5,'...'!X30, IF($C$3=6,'...'!X36, IF($C$3=7,'...'!X42, IF($C$3=8,'...'!X48, IF($C$3=9,'...'!X54, )))))))))</f>
        <v>6.5</v>
      </c>
      <c r="AD10" s="128">
        <f xml:space="preserve"> IF($C$3=1,'...'!Y6, IF($C$3=2,'...'!Y12, IF($C$3=3,'...'!Y18, IF($C$3=4,'...'!Y24, IF($C$3=5,'...'!Y30, IF($C$3=6,'...'!Y36, IF($C$3=7,'...'!Y42, IF($C$3=8,'...'!Y48, IF($C$3=9,'...'!Y54, )))))))))</f>
        <v>2.75</v>
      </c>
      <c r="AE10" s="286">
        <f xml:space="preserve"> IF($C$3=1,'...'!Z6, IF($C$3=2,'...'!Z12, IF($C$3=3,'...'!Z18, IF($C$3=4,'...'!Z24, IF($C$3=5,'...'!Z30, IF($C$3=6,'...'!Z36, IF($C$3=7,'...'!Z42, IF($C$3=8,'...'!Z48, IF($C$3=9,'...'!Z54, )))))))))</f>
        <v>1</v>
      </c>
      <c r="AI10" s="127">
        <f>IF(X10&gt;0,(X10+Y10+Z10*2),0.00001)</f>
        <v>15</v>
      </c>
      <c r="AJ10" s="3">
        <f>IF(AC10&gt;0,(AB10+AC10+AD10*2+AE10*2),0.00001)</f>
        <v>15</v>
      </c>
    </row>
    <row r="11" spans="3:36" ht="21.75" thickBot="1" x14ac:dyDescent="0.3">
      <c r="E11" s="128">
        <f xml:space="preserve"> IF($C$3=1,'...'!D7, IF($C$3=2,'...'!D13, IF($C$3=3,'...'!D19, IF($C$3=4,'...'!D25, IF($C$3=5,'...'!D31, IF($C$3=6,'...'!D37, IF($C$3=7,'...'!D43, IF($C$3=8,'...'!D49, IF($C$3=9,'...'!D55, )))))))))</f>
        <v>16</v>
      </c>
      <c r="F11" s="128">
        <f xml:space="preserve"> IF($C$3=1,'...'!E7, IF($C$3=2,'...'!E13, IF($C$3=3,'...'!E19, IF($C$3=4,'...'!E25, IF($C$3=5,'...'!E31, IF($C$3=6,'...'!E37, IF($C$3=7,'...'!E43, IF($C$3=8,'...'!E49, IF($C$3=9,'...'!E55, )))))))))</f>
        <v>1.5</v>
      </c>
      <c r="G11" s="209">
        <f xml:space="preserve"> IF($C$3=1,'...'!F7, IF($C$3=2,'...'!F13, IF($C$3=3,'...'!F19, IF($C$3=4,'...'!F25, IF($C$3=5,'...'!F31, IF($C$3=6,'...'!F37, IF($C$3=7,'...'!F43, IF($C$3=8,'...'!F49, IF($C$3=9,'...'!F55, )))))))))</f>
        <v>4.4000000000000004</v>
      </c>
      <c r="H11" s="393"/>
      <c r="I11" s="468">
        <f xml:space="preserve"> IF($C$3=1,'...'!G7, IF($C$3=2,'...'!G13, IF($C$3=3,'...'!G19, IF($C$3=4,'...'!G25, IF($C$3=5,'...'!G31, IF($C$3=6,'...'!G37, IF($C$3=7,'...'!G43, IF($C$3=8,'...'!G49, IF($C$3=9,'...'!G55, )))))))))</f>
        <v>1.2</v>
      </c>
      <c r="J11" s="128">
        <f xml:space="preserve"> IF($C$3=1,'...'!H7, IF($C$3=2,'...'!H13, IF($C$3=3,'...'!H19, IF($C$3=4,'...'!H25, IF($C$3=5,'...'!H31, IF($C$3=6,'...'!H37, IF($C$3=7,'...'!H43, IF($C$3=8,'...'!H49, IF($C$3=9,'...'!H55, )))))))))</f>
        <v>14</v>
      </c>
      <c r="K11" s="128">
        <f xml:space="preserve"> IF($C$3=1,'...'!I7, IF($C$3=2,'...'!I13, IF($C$3=3,'...'!I19, IF($C$3=4,'...'!I25, IF($C$3=5,'...'!I31, IF($C$3=6,'...'!I37, IF($C$3=7,'...'!I43, IF($C$3=8,'...'!I49, IF($C$3=9,'...'!I55, )))))))))</f>
        <v>4.05</v>
      </c>
      <c r="L11" s="128">
        <f xml:space="preserve"> IF($C$3=1,'...'!J7, IF($C$3=2,'...'!J13, IF($C$3=3,'...'!J19, IF($C$3=4,'...'!J25, IF($C$3=5,'...'!J31, IF($C$3=6,'...'!J37, IF($C$3=7,'...'!J43, IF($C$3=8,'...'!J49, IF($C$3=9,'...'!J55, )))))))))</f>
        <v>1.5</v>
      </c>
      <c r="M11" s="209"/>
      <c r="N11" s="316"/>
      <c r="O11" s="320"/>
      <c r="P11" s="127">
        <f>E11+F11+G11*2</f>
        <v>26.3</v>
      </c>
      <c r="Q11" s="3">
        <f>I11+J11+K11*2+L11*2</f>
        <v>26.299999999999997</v>
      </c>
      <c r="X11" s="285">
        <f xml:space="preserve"> IF($C$3=1,'...'!T7, IF($C$3=2,'...'!T13, IF($C$3=3,'...'!T19, IF($C$3=4,'...'!T25, IF($C$3=5,'...'!T31, IF($C$3=6,'...'!T37, IF($C$3=7,'...'!T43, IF($C$3=8,'...'!T49, IF($C$3=9,'...'!T55, )))))))))</f>
        <v>10.75</v>
      </c>
      <c r="Y11" s="128">
        <f xml:space="preserve"> IF($C$3=1,'...'!U7, IF($C$3=2,'...'!U13, IF($C$3=3,'...'!U19, IF($C$3=4,'...'!U25, IF($C$3=5,'...'!U31, IF($C$3=6,'...'!U37, IF($C$3=7,'...'!U43, IF($C$3=8,'...'!U49, IF($C$3=9,'...'!U55, )))))))))</f>
        <v>1.25</v>
      </c>
      <c r="Z11" s="209">
        <f xml:space="preserve"> IF($C$3=1,'...'!V7, IF($C$3=2,'...'!V13, IF($C$3=3,'...'!V19, IF($C$3=4,'...'!V25, IF($C$3=5,'...'!V31, IF($C$3=6,'...'!V37, IF($C$3=7,'...'!V43, IF($C$3=8,'...'!V49, IF($C$3=9,'...'!V55, )))))))))</f>
        <v>1.5</v>
      </c>
      <c r="AA11" s="393"/>
      <c r="AB11" s="468">
        <f xml:space="preserve"> IF($C$3=1,'...'!W7, IF($C$3=2,'...'!W13, IF($C$3=3,'...'!W19, IF($C$3=4,'...'!W25, IF($C$3=5,'...'!W31, IF($C$3=6,'...'!W37, IF($C$3=7,'...'!W43, IF($C$3=8,'...'!W49, IF($C$3=9,'...'!W55, )))))))))</f>
        <v>1</v>
      </c>
      <c r="AC11" s="128">
        <f xml:space="preserve"> IF($C$3=1,'...'!X7, IF($C$3=2,'...'!X13, IF($C$3=3,'...'!X19, IF($C$3=4,'...'!X25, IF($C$3=5,'...'!X31, IF($C$3=6,'...'!X37, IF($C$3=7,'...'!X43, IF($C$3=8,'...'!X49, IF($C$3=9,'...'!X55, )))))))))</f>
        <v>10</v>
      </c>
      <c r="AD11" s="128">
        <f xml:space="preserve"> IF($C$3=1,'...'!Y7, IF($C$3=2,'...'!Y13, IF($C$3=3,'...'!Y19, IF($C$3=4,'...'!Y25, IF($C$3=5,'...'!Y31, IF($C$3=6,'...'!Y37, IF($C$3=7,'...'!Y43, IF($C$3=8,'...'!Y49, IF($C$3=9,'...'!Y55, )))))))))</f>
        <v>1.5</v>
      </c>
      <c r="AE11" s="286">
        <f xml:space="preserve"> IF($C$3=1,'...'!Z7, IF($C$3=2,'...'!Z13, IF($C$3=3,'...'!Z19, IF($C$3=4,'...'!Z25, IF($C$3=5,'...'!Z31, IF($C$3=6,'...'!Z37, IF($C$3=7,'...'!Z43, IF($C$3=8,'...'!Z49, IF($C$3=9,'...'!Z55, )))))))))</f>
        <v>0.5</v>
      </c>
      <c r="AI11" s="127">
        <f>IF(X11&gt;0,(X11+Y11+Z11*2),0.00001)</f>
        <v>15</v>
      </c>
      <c r="AJ11" s="3">
        <f>IF(AC11&gt;0,(AB11+AC11+AD11*2+AE11*2),0.00001)</f>
        <v>15</v>
      </c>
    </row>
    <row r="12" spans="3:36" ht="21.75" thickBot="1" x14ac:dyDescent="0.3">
      <c r="E12" s="128">
        <f xml:space="preserve"> IF($C$3=1,'...'!D8, IF($C$3=2,'...'!D14, IF($C$3=3,'...'!D20, IF($C$3=4,'...'!D26, IF($C$3=5,'...'!D32, IF($C$3=6,'...'!D38, IF($C$3=7,'...'!D44, IF($C$3=8,'...'!D50, IF($C$3=9,'...'!D56, )))))))))</f>
        <v>16</v>
      </c>
      <c r="F12" s="128">
        <f xml:space="preserve"> IF($C$3=1,'...'!E8, IF($C$3=2,'...'!E14, IF($C$3=3,'...'!E20, IF($C$3=4,'...'!E26, IF($C$3=5,'...'!E32, IF($C$3=6,'...'!E38, IF($C$3=7,'...'!E44, IF($C$3=8,'...'!E50, IF($C$3=9,'...'!E56, )))))))))</f>
        <v>1.5</v>
      </c>
      <c r="G12" s="209">
        <f xml:space="preserve"> IF($C$3=1,'...'!F8, IF($C$3=2,'...'!F14, IF($C$3=3,'...'!F20, IF($C$3=4,'...'!F26, IF($C$3=5,'...'!F32, IF($C$3=6,'...'!F38, IF($C$3=7,'...'!F44, IF($C$3=8,'...'!F50, IF($C$3=9,'...'!F56, )))))))))</f>
        <v>4.4000000000000004</v>
      </c>
      <c r="H12" s="393"/>
      <c r="I12" s="468">
        <f xml:space="preserve"> IF($C$3=1,'...'!G8, IF($C$3=2,'...'!G14, IF($C$3=3,'...'!G20, IF($C$3=4,'...'!G26, IF($C$3=5,'...'!G32, IF($C$3=6,'...'!G38, IF($C$3=7,'...'!G44, IF($C$3=8,'...'!G50, IF($C$3=9,'...'!G56, )))))))))</f>
        <v>1.2</v>
      </c>
      <c r="J12" s="128">
        <f xml:space="preserve"> IF($C$3=1,'...'!H8, IF($C$3=2,'...'!H14, IF($C$3=3,'...'!H20, IF($C$3=4,'...'!H26, IF($C$3=5,'...'!H32, IF($C$3=6,'...'!H38, IF($C$3=7,'...'!H44, IF($C$3=8,'...'!H50, IF($C$3=9,'...'!H56, )))))))))</f>
        <v>10.5</v>
      </c>
      <c r="K12" s="128">
        <f xml:space="preserve"> IF($C$3=1,'...'!I8, IF($C$3=2,'...'!I14, IF($C$3=3,'...'!I20, IF($C$3=4,'...'!I26, IF($C$3=5,'...'!I32, IF($C$3=6,'...'!I38, IF($C$3=7,'...'!I44, IF($C$3=8,'...'!I50, IF($C$3=9,'...'!I56, )))))))))</f>
        <v>5.0999999999999996</v>
      </c>
      <c r="L12" s="128">
        <f xml:space="preserve"> IF($C$3=1,'...'!J8, IF($C$3=2,'...'!J14, IF($C$3=3,'...'!J20, IF($C$3=4,'...'!J26, IF($C$3=5,'...'!J32, IF($C$3=6,'...'!J38, IF($C$3=7,'...'!J44, IF($C$3=8,'...'!J50, IF($C$3=9,'...'!J56, )))))))))</f>
        <v>2.2000000000000002</v>
      </c>
      <c r="M12" s="209"/>
      <c r="N12" s="316"/>
      <c r="O12" s="320"/>
      <c r="P12" s="127">
        <f>E12+F12+G12*2</f>
        <v>26.3</v>
      </c>
      <c r="Q12" s="3">
        <f>I12+J12+K12*2+L12*2</f>
        <v>26.299999999999997</v>
      </c>
      <c r="X12" s="287">
        <f xml:space="preserve"> IF($C$3=1,'...'!T8, IF($C$3=2,'...'!T14, IF($C$3=3,'...'!T20, IF($C$3=4,'...'!T26, IF($C$3=5,'...'!T32, IF($C$3=6,'...'!T38, IF($C$3=7,'...'!T44, IF($C$3=8,'...'!T50, IF($C$3=9,'...'!T56, )))))))))</f>
        <v>10.75</v>
      </c>
      <c r="Y12" s="119">
        <f xml:space="preserve"> IF($C$3=1,'...'!U8, IF($C$3=2,'...'!U14, IF($C$3=3,'...'!U20, IF($C$3=4,'...'!U26, IF($C$3=5,'...'!U32, IF($C$3=6,'...'!U38, IF($C$3=7,'...'!U44, IF($C$3=8,'...'!U50, IF($C$3=9,'...'!U56, )))))))))</f>
        <v>1.25</v>
      </c>
      <c r="Z12" s="467">
        <f xml:space="preserve"> IF($C$3=1,'...'!V8, IF($C$3=2,'...'!V14, IF($C$3=3,'...'!V20, IF($C$3=4,'...'!V26, IF($C$3=5,'...'!V32, IF($C$3=6,'...'!V38, IF($C$3=7,'...'!V44, IF($C$3=8,'...'!V50, IF($C$3=9,'...'!V56, )))))))))</f>
        <v>1.5</v>
      </c>
      <c r="AA12" s="475"/>
      <c r="AB12" s="473">
        <f xml:space="preserve"> IF($C$3=1,'...'!W8, IF($C$3=2,'...'!W14, IF($C$3=3,'...'!W20, IF($C$3=4,'...'!W26, IF($C$3=5,'...'!W32, IF($C$3=6,'...'!W38, IF($C$3=7,'...'!W44, IF($C$3=8,'...'!W50, IF($C$3=9,'...'!W56, )))))))))</f>
        <v>1</v>
      </c>
      <c r="AC12" s="119">
        <f xml:space="preserve"> IF($C$3=1,'...'!X8, IF($C$3=2,'...'!X14, IF($C$3=3,'...'!X20, IF($C$3=4,'...'!X26, IF($C$3=5,'...'!X32, IF($C$3=6,'...'!X38, IF($C$3=7,'...'!X44, IF($C$3=8,'...'!X50, IF($C$3=9,'...'!X56, )))))))))</f>
        <v>7.5</v>
      </c>
      <c r="AD12" s="119">
        <f xml:space="preserve"> IF($C$3=1,'...'!Y8, IF($C$3=2,'...'!Y14, IF($C$3=3,'...'!Y20, IF($C$3=4,'...'!Y26, IF($C$3=5,'...'!Y32, IF($C$3=6,'...'!Y38, IF($C$3=7,'...'!Y44, IF($C$3=8,'...'!Y50, IF($C$3=9,'...'!Y56, )))))))))</f>
        <v>2.5</v>
      </c>
      <c r="AE12" s="288">
        <f xml:space="preserve"> IF($C$3=1,'...'!Z8, IF($C$3=2,'...'!Z14, IF($C$3=3,'...'!Z20, IF($C$3=4,'...'!Z26, IF($C$3=5,'...'!Z32, IF($C$3=6,'...'!Z38, IF($C$3=7,'...'!Z44, IF($C$3=8,'...'!Z50, IF($C$3=9,'...'!Z56, )))))))))</f>
        <v>0.75</v>
      </c>
      <c r="AI12" s="127">
        <f>IF(X12&gt;0,(X12+Y12+Z12*2),0.00001)</f>
        <v>15</v>
      </c>
      <c r="AJ12" s="3">
        <f>IF(AC12&gt;0,(AB12+AC12+AD12*2+AE12*2),0.00001)</f>
        <v>15</v>
      </c>
    </row>
    <row r="13" spans="3:36" ht="21.75" thickBot="1" x14ac:dyDescent="0.3">
      <c r="E13" s="261"/>
      <c r="F13" s="262"/>
      <c r="G13" s="265"/>
      <c r="H13" s="51"/>
      <c r="I13" s="469"/>
      <c r="J13" s="263"/>
      <c r="K13" s="264"/>
      <c r="L13" s="262"/>
      <c r="M13" s="265"/>
      <c r="N13" s="317"/>
      <c r="O13" s="321"/>
      <c r="P13" s="266"/>
      <c r="Q13" s="267"/>
      <c r="AA13" s="476"/>
    </row>
    <row r="14" spans="3:36" ht="35.25" customHeight="1" thickBot="1" x14ac:dyDescent="0.3">
      <c r="E14" s="292">
        <f>Δεδομένα!$F$18</f>
        <v>0</v>
      </c>
      <c r="F14" s="145">
        <f>Δεδομένα!$G$18</f>
        <v>0</v>
      </c>
      <c r="G14" s="464">
        <f>Δεδομένα!$H$18</f>
        <v>0</v>
      </c>
      <c r="H14" s="393"/>
      <c r="I14" s="145">
        <f>Δεδομένα!$J$18</f>
        <v>0</v>
      </c>
      <c r="J14" s="145">
        <f>Δεδομένα!$K$18</f>
        <v>0</v>
      </c>
      <c r="K14" s="145">
        <f>Δεδομένα!$L$18</f>
        <v>0</v>
      </c>
      <c r="L14" s="145">
        <f>Δεδομένα!$M$18</f>
        <v>0</v>
      </c>
      <c r="M14" s="145">
        <f>Δεδομένα!$N$18</f>
        <v>0</v>
      </c>
      <c r="N14" s="145">
        <f>Δεδομένα!$O$18</f>
        <v>0</v>
      </c>
      <c r="O14" s="322"/>
      <c r="X14" s="292">
        <f>Δεδομένα!$F$18</f>
        <v>0</v>
      </c>
      <c r="Y14" s="145">
        <f>Δεδομένα!$G$18</f>
        <v>0</v>
      </c>
      <c r="Z14" s="464">
        <f>Δεδομένα!$H$18</f>
        <v>0</v>
      </c>
      <c r="AA14" s="393"/>
      <c r="AB14" s="145">
        <f>Δεδομένα!$J$18</f>
        <v>0</v>
      </c>
      <c r="AC14" s="145">
        <f>Δεδομένα!$K$18</f>
        <v>0</v>
      </c>
      <c r="AD14" s="145">
        <f>Δεδομένα!$L$18</f>
        <v>0</v>
      </c>
      <c r="AE14" s="145">
        <f>Δεδομένα!$M$18</f>
        <v>0</v>
      </c>
      <c r="AF14" s="145">
        <f>Δεδομένα!$N$18</f>
        <v>0</v>
      </c>
      <c r="AG14" s="145">
        <f>Δεδομένα!$O$18</f>
        <v>0</v>
      </c>
      <c r="AH14" s="146">
        <f>Δεδομένα!$I$18</f>
        <v>0</v>
      </c>
    </row>
    <row r="15" spans="3:36" ht="21.75" thickBot="1" x14ac:dyDescent="0.4">
      <c r="E15" s="129">
        <f>Δεδομένα!$F$19</f>
        <v>0</v>
      </c>
      <c r="F15" s="129">
        <f>Δεδομένα!$G$19</f>
        <v>0</v>
      </c>
      <c r="G15" s="130">
        <f>Δεδομένα!$H$19</f>
        <v>0</v>
      </c>
      <c r="H15" s="51"/>
      <c r="I15" s="470">
        <f>Δεδομένα!$J$19</f>
        <v>0</v>
      </c>
      <c r="J15" s="129">
        <f>Δεδομένα!$K$19</f>
        <v>0</v>
      </c>
      <c r="K15" s="130">
        <f>Δεδομένα!$L$19</f>
        <v>0</v>
      </c>
      <c r="L15" s="129">
        <f>Δεδομένα!$M$19</f>
        <v>0</v>
      </c>
      <c r="M15" s="130">
        <f>Δεδομένα!$N$19</f>
        <v>0</v>
      </c>
      <c r="N15" s="318">
        <f>Δεδομένα!$O$19</f>
        <v>0</v>
      </c>
      <c r="O15" s="323">
        <f>Δεδομένα!$I$19</f>
        <v>0</v>
      </c>
      <c r="X15" s="129">
        <f>Δεδομένα!$F$19</f>
        <v>0</v>
      </c>
      <c r="Y15" s="129">
        <f>Δεδομένα!$G$19</f>
        <v>0</v>
      </c>
      <c r="Z15" s="130">
        <f>Δεδομένα!$H$19</f>
        <v>0</v>
      </c>
      <c r="AA15" s="475"/>
      <c r="AB15" s="470">
        <f>Δεδομένα!$J$19</f>
        <v>0</v>
      </c>
      <c r="AC15" s="129">
        <f>Δεδομένα!$K$19</f>
        <v>0</v>
      </c>
      <c r="AD15" s="130">
        <f>Δεδομένα!$L$19</f>
        <v>0</v>
      </c>
      <c r="AE15" s="129">
        <f>Δεδομένα!$M$19</f>
        <v>0</v>
      </c>
      <c r="AF15" s="130">
        <f>Δεδομένα!$N$19</f>
        <v>0</v>
      </c>
      <c r="AG15" s="289">
        <f>Δεδομένα!$O$19</f>
        <v>0</v>
      </c>
      <c r="AH15" s="131">
        <f>Δεδομένα!$I$19</f>
        <v>0</v>
      </c>
    </row>
    <row r="16" spans="3:36" ht="20.25" x14ac:dyDescent="0.3">
      <c r="E16" s="142"/>
      <c r="F16" s="142"/>
      <c r="G16" s="465"/>
      <c r="H16" s="393"/>
      <c r="I16" s="471"/>
      <c r="J16" s="142"/>
      <c r="K16" s="142"/>
      <c r="L16" s="142"/>
      <c r="M16" s="142"/>
      <c r="N16" s="143"/>
    </row>
    <row r="17" spans="3:35" ht="20.25" x14ac:dyDescent="0.3">
      <c r="E17" s="139"/>
      <c r="F17" s="139"/>
      <c r="G17" s="466"/>
      <c r="H17" s="393"/>
      <c r="I17" s="472"/>
      <c r="J17" s="139"/>
      <c r="K17" s="139"/>
      <c r="L17" s="140"/>
      <c r="M17" s="140"/>
      <c r="N17" s="141"/>
    </row>
    <row r="18" spans="3:35" ht="21" thickBot="1" x14ac:dyDescent="0.35">
      <c r="L18" s="117"/>
      <c r="M18" s="117"/>
      <c r="N18" s="112"/>
    </row>
    <row r="19" spans="3:35" ht="21" thickBot="1" x14ac:dyDescent="0.3">
      <c r="E19" s="119">
        <f>IF($C$3=1,'...'!D64, IF($C$3=2,'...'!D65, IF($C$3=3,'...'!D66, IF($C$3=4,'...'!D67, IF($C$3=5,'...'!D68, IF($C$3=6,'...'!D69, IF($C$3=7,'...'!D70, IF($C$3=8,'...'!D71, IF($C$3=9,'...'!D72,)))))))))</f>
        <v>25</v>
      </c>
      <c r="F19" s="119">
        <f>IF($C$3=1,'...'!E64, IF($C$3=2,'...'!E65, IF($C$3=3,'...'!E66, IF($C$3=4,'...'!E67, IF($C$3=5,'...'!E68, IF($C$3=6,'...'!E69, IF($C$3=7,'...'!E70, IF($C$3=8,'...'!E71, IF($C$3=9,'...'!E72,)))))))))</f>
        <v>10</v>
      </c>
      <c r="G19" s="467">
        <f>IF($C$3=1,'...'!F64, IF($C$3=2,'...'!F65, IF($C$3=3,'...'!F66, IF($C$3=4,'...'!F67, IF($C$3=5,'...'!F68, IF($C$3=6,'...'!F69, IF($C$3=7,'...'!F70, IF($C$3=8,'...'!F71, IF($C$3=9,'...'!F72,)))))))))</f>
        <v>5</v>
      </c>
      <c r="H19" s="473">
        <f>IF($C$3=1,'...'!G64, IF($C$3=2,'...'!G65, IF($C$3=3,'...'!G66, IF($C$3=4,'...'!G67, IF($C$3=5,'...'!G68, IF($C$3=6,'...'!G69, IF($C$3=7,'...'!G70, IF($C$3=8,'...'!G71, IF($C$3=9,'...'!G72,)))))))))</f>
        <v>25</v>
      </c>
      <c r="I19" s="119">
        <f>IF($C$3=1,'...'!H64, IF($C$3=2,'...'!H65, IF($C$3=3,'...'!H66, IF($C$3=4,'...'!H67, IF($C$3=5,'...'!H68, IF($C$3=6,'...'!H69, IF($C$3=7,'...'!H70, IF($C$3=8,'...'!H71, IF($C$3=9,'...'!H72,)))))))))</f>
        <v>0.75</v>
      </c>
      <c r="J19" s="119">
        <f>IF($C$3=1,'...'!I64, IF($C$3=2,'...'!I65, IF($C$3=3,'...'!I66, IF($C$3=4,'...'!I67, IF($C$3=5,'...'!I68, IF($C$3=6,'...'!I69, IF($C$3=7,'...'!I70, IF($C$3=8,'...'!I71, IF($C$3=9,'...'!I72,)))))))))</f>
        <v>0.5</v>
      </c>
      <c r="X19" s="287">
        <f>IF($C$3=1,'...'!U64, IF($C$3=2,'...'!U65, IF($C$3=3,'...'!U66, IF($C$3=4,'...'!U67, IF($C$3=5,'...'!U68, IF($C$3=6,'...'!U69, IF($C$3=7,'...'!U70, IF($C$3=8,'...'!U71, IF($C$3=9,'...'!U72, )))))))))</f>
        <v>25</v>
      </c>
      <c r="Y19" s="119">
        <f>IF($C$3=1,'...'!V64, IF($C$3=2,'...'!V65, IF($C$3=3,'...'!V66, IF($C$3=4,'...'!V67, IF($C$3=5,'...'!V68, IF($C$3=6,'...'!V69, IF($C$3=7,'...'!V70, IF($C$3=8,'...'!V71, IF($C$3=9,'...'!V72, )))))))))</f>
        <v>20</v>
      </c>
      <c r="Z19" s="119">
        <f>IF($C$3=1,'...'!W64, IF($C$3=2,'...'!W65, IF($C$3=3,'...'!W66, IF($C$3=4,'...'!W67, IF($C$3=5,'...'!W68, IF($C$3=6,'...'!W69, IF($C$3=7,'...'!W70, IF($C$3=8,'...'!W71, IF($C$3=9,'...'!W72, )))))))))</f>
        <v>5</v>
      </c>
      <c r="AA19" s="119">
        <f>IF($C$3=1,'...'!X64, IF($C$3=2,'...'!X65, IF($C$3=3,'...'!X66, IF($C$3=4,'...'!X67, IF($C$3=5,'...'!X68, IF($C$3=6,'...'!X69, IF($C$3=7,'...'!X70, IF($C$3=8,'...'!X71, IF($C$3=9,'...'!X72, )))))))))</f>
        <v>20</v>
      </c>
      <c r="AB19" s="119">
        <f>IF($C$3=1,'...'!Y64, IF($C$3=2,'...'!Y65, IF($C$3=3,'...'!Y66, IF($C$3=4,'...'!Y67, IF($C$3=5,'...'!Y68, IF($C$3=6,'...'!Y69, IF($C$3=7,'...'!Y70, IF($C$3=8,'...'!Y71, IF($C$3=9,'...'!Y72, )))))))))</f>
        <v>0.75</v>
      </c>
      <c r="AC19" s="288">
        <f>IF($C$3=1,'...'!Z64, IF($C$3=2,'...'!Z65, IF($C$3=3,'...'!Z66, IF($C$3=4,'...'!Z67, IF($C$3=5,'...'!Z68, IF($C$3=6,'...'!Z69, IF($C$3=7,'...'!Z70, IF($C$3=8,'...'!Z71, IF($C$3=9,'...'!Z72, )))))))))</f>
        <v>0.5</v>
      </c>
    </row>
    <row r="20" spans="3:35" ht="21.75" thickBot="1" x14ac:dyDescent="0.4">
      <c r="E20" s="133">
        <f>Δεδομένα!$F$21</f>
        <v>0</v>
      </c>
      <c r="F20" s="133">
        <f>Δεδομένα!$G$21</f>
        <v>0</v>
      </c>
      <c r="G20" s="133">
        <f>Δεδομένα!$H$21</f>
        <v>0</v>
      </c>
      <c r="H20" s="133">
        <f>Δεδομένα!$I$21</f>
        <v>0</v>
      </c>
      <c r="I20" s="132">
        <f>Δεδομένα!$J$21</f>
        <v>0</v>
      </c>
      <c r="J20" s="134">
        <f>Δεδομένα!$K$21</f>
        <v>0</v>
      </c>
      <c r="X20" s="290">
        <f>Δεδομένα!$F$21</f>
        <v>0</v>
      </c>
      <c r="Y20" s="133">
        <f>Δεδομένα!$G$21</f>
        <v>0</v>
      </c>
      <c r="Z20" s="133">
        <f>Δεδομένα!$H$21</f>
        <v>0</v>
      </c>
      <c r="AA20" s="133">
        <f>Δεδομένα!$I$21</f>
        <v>0</v>
      </c>
      <c r="AB20" s="132">
        <f>Δεδομένα!$J$21</f>
        <v>0</v>
      </c>
      <c r="AC20" s="134">
        <f>Δεδομένα!$K$21</f>
        <v>0</v>
      </c>
    </row>
    <row r="23" spans="3:35" ht="20.25" x14ac:dyDescent="0.25">
      <c r="D23" s="1"/>
      <c r="W23" s="1"/>
    </row>
    <row r="24" spans="3:35" ht="21" thickBot="1" x14ac:dyDescent="0.3">
      <c r="V24" s="410"/>
      <c r="W24" s="1"/>
    </row>
    <row r="25" spans="3:35" ht="21" customHeight="1" thickBot="1" x14ac:dyDescent="0.4">
      <c r="C25" s="116"/>
      <c r="D25" s="452" t="s">
        <v>11</v>
      </c>
      <c r="E25" s="609">
        <f>IF($G$4="OK",E8,IF($C$4=0,E9,IF($C$4=1,E10,IF($C$4=2,E11,IF($C$4=3,E12," ")))))</f>
        <v>16</v>
      </c>
      <c r="F25" s="444">
        <f>IF($G$4="OK",F8,IF($C$4=0,F9,IF($C$4=1,F10,IF($C$4=2,F11,IF($C$4=3,F12," ")))))</f>
        <v>1.5</v>
      </c>
      <c r="G25" s="444">
        <f>IF($G$4="OK",G8,IF($C$4=0,G9,IF($C$4=1,G10,IF($C$4=2,G11,IF($C$4=3,G12," ")))))</f>
        <v>4.4000000000000004</v>
      </c>
      <c r="H25" s="445">
        <v>0</v>
      </c>
      <c r="I25" s="444">
        <f>IF($G$4="OK",I8,IF($C$4=0,I9,IF($C$4=1,I10,IF($C$4=2,I11,IF($C$4=3,I12," ")))))</f>
        <v>1.2</v>
      </c>
      <c r="J25" s="444">
        <f>IF($G$4="OK",J8,IF($C$4=0,J9,IF($C$4=1,J10,IF($C$4=2,J11,IF($C$4=3,J12," ")))))</f>
        <v>9.5</v>
      </c>
      <c r="K25" s="444">
        <f>IF($G$4="OK",K8,IF($C$4=0,K9,IF($C$4=1,K10,IF($C$4=2,K11,IF($C$4=3,K12," ")))))</f>
        <v>5.4</v>
      </c>
      <c r="L25" s="444">
        <f>IF($G$4="OK",L8,IF($C$4=0,L9,IF($C$4=1,L10,IF($C$4=2,L11,IF($C$4=3,L12," ")))))</f>
        <v>2.4</v>
      </c>
      <c r="M25" s="444">
        <f>IF($G$4 ="OK",M8,IF($C$4=0,M9,IF($C$4=1,M10,IF($C$4=2,M11,IF($C$4=3,M12," ")))))</f>
        <v>0</v>
      </c>
      <c r="N25" s="482">
        <f>IF($G$4 ="OK",N8,IF($C$4=0,N9,IF($C$4=1,N10,IF($C$4=2,N11,IF($C$4=3,N12," ")))))</f>
        <v>0</v>
      </c>
      <c r="O25" s="446">
        <f xml:space="preserve"> E25*1+F25*1+G25*2+M25</f>
        <v>26.3</v>
      </c>
      <c r="P25" s="447">
        <f xml:space="preserve"> (+H25*1+I25*1+J25*1+K25*2+L25*2+N25)</f>
        <v>26.3</v>
      </c>
      <c r="V25" s="116"/>
      <c r="W25" s="481"/>
      <c r="X25" s="444">
        <f>IF($C$4=0,X9,IF($C$4=1,X10,IF($C$4=2,X11,IF($C$4=3,X12," "))))</f>
        <v>10.75</v>
      </c>
      <c r="Y25" s="444">
        <f>IF($C$4=0,Y9,IF($C$4=1,Y10,IF($C$4=2,Y11,IF($C$4=3,Y12," "))))</f>
        <v>1.25</v>
      </c>
      <c r="Z25" s="444">
        <f>IF($C$4=0,Z9,IF($C$4=1,Z10,IF($C$4=2,Z11,IF($C$4=3,Z12," "))))</f>
        <v>1.5</v>
      </c>
      <c r="AA25" s="445">
        <v>0</v>
      </c>
      <c r="AB25" s="444">
        <f t="shared" ref="AB25:AG25" si="0" xml:space="preserve"> IF($C$4=0,AB9,IF($C$4=1,AB10,IF($C$4=2,AB11,IF($C$4=3,AB12," "))))</f>
        <v>1</v>
      </c>
      <c r="AC25" s="444">
        <f t="shared" si="0"/>
        <v>6.5</v>
      </c>
      <c r="AD25" s="444">
        <f t="shared" si="0"/>
        <v>2.75</v>
      </c>
      <c r="AE25" s="444">
        <f t="shared" si="0"/>
        <v>1</v>
      </c>
      <c r="AF25" s="444">
        <f t="shared" si="0"/>
        <v>0</v>
      </c>
      <c r="AG25" s="482">
        <f t="shared" si="0"/>
        <v>0</v>
      </c>
      <c r="AH25" s="509">
        <f>IF(X25&gt;0,(X25+Y25+Z25*2+AF25),0.00001)</f>
        <v>15</v>
      </c>
      <c r="AI25" s="510">
        <f>IF(AB25&gt;0,(AA25+AB25+AC25+AD25*2+AE25*2),0.00001)</f>
        <v>15</v>
      </c>
    </row>
    <row r="26" spans="3:35" ht="21" thickBot="1" x14ac:dyDescent="0.35">
      <c r="C26" s="116"/>
      <c r="D26" s="454"/>
      <c r="E26" s="164">
        <f>E14</f>
        <v>0</v>
      </c>
      <c r="F26" s="164">
        <f>F14</f>
        <v>0</v>
      </c>
      <c r="G26" s="164">
        <f>G14</f>
        <v>0</v>
      </c>
      <c r="H26" s="144">
        <v>0</v>
      </c>
      <c r="I26" s="165">
        <f t="shared" ref="I26:N26" si="1">I14</f>
        <v>0</v>
      </c>
      <c r="J26" s="165">
        <f t="shared" si="1"/>
        <v>0</v>
      </c>
      <c r="K26" s="144">
        <f t="shared" si="1"/>
        <v>0</v>
      </c>
      <c r="L26" s="166">
        <f t="shared" si="1"/>
        <v>0</v>
      </c>
      <c r="M26" s="147">
        <f t="shared" si="1"/>
        <v>0</v>
      </c>
      <c r="N26" s="147">
        <f t="shared" si="1"/>
        <v>0</v>
      </c>
      <c r="O26" s="308">
        <f xml:space="preserve"> E26*1+F26*1+G26*2+M26</f>
        <v>0</v>
      </c>
      <c r="P26" s="309">
        <f>(+H26*1+I26*1+J26*1+K26*2+L26*2+N26)</f>
        <v>0</v>
      </c>
      <c r="V26" s="116"/>
      <c r="W26" s="485"/>
      <c r="X26" s="164">
        <f>X14</f>
        <v>0</v>
      </c>
      <c r="Y26" s="164">
        <f>Y14</f>
        <v>0</v>
      </c>
      <c r="Z26" s="164">
        <f>Z14</f>
        <v>0</v>
      </c>
      <c r="AA26" s="144">
        <v>0</v>
      </c>
      <c r="AB26" s="165">
        <f t="shared" ref="AB26:AG26" si="2">AB14</f>
        <v>0</v>
      </c>
      <c r="AC26" s="165">
        <f t="shared" si="2"/>
        <v>0</v>
      </c>
      <c r="AD26" s="144">
        <f t="shared" si="2"/>
        <v>0</v>
      </c>
      <c r="AE26" s="166">
        <f t="shared" si="2"/>
        <v>0</v>
      </c>
      <c r="AF26" s="147">
        <f t="shared" si="2"/>
        <v>0</v>
      </c>
      <c r="AG26" s="486">
        <f t="shared" si="2"/>
        <v>0</v>
      </c>
      <c r="AH26" s="328">
        <f xml:space="preserve"> X26*1+Y26*1+Z26*2+AF26</f>
        <v>0</v>
      </c>
      <c r="AI26" s="327">
        <f>(+AA26*1+AB26*1+AC26*1+AD26*2+AE26*2+AG26)</f>
        <v>0</v>
      </c>
    </row>
    <row r="27" spans="3:35" ht="21" thickBot="1" x14ac:dyDescent="0.35">
      <c r="C27" s="116"/>
      <c r="D27" s="455"/>
      <c r="E27" s="448">
        <f t="shared" ref="E27:N27" si="3">E25+E26</f>
        <v>16</v>
      </c>
      <c r="F27" s="180">
        <f t="shared" si="3"/>
        <v>1.5</v>
      </c>
      <c r="G27" s="180">
        <f t="shared" si="3"/>
        <v>4.4000000000000004</v>
      </c>
      <c r="H27" s="180">
        <f t="shared" si="3"/>
        <v>0</v>
      </c>
      <c r="I27" s="291">
        <f t="shared" si="3"/>
        <v>1.2</v>
      </c>
      <c r="J27" s="180">
        <f t="shared" si="3"/>
        <v>9.5</v>
      </c>
      <c r="K27" s="180">
        <f t="shared" si="3"/>
        <v>5.4</v>
      </c>
      <c r="L27" s="180">
        <f t="shared" si="3"/>
        <v>2.4</v>
      </c>
      <c r="M27" s="180">
        <f t="shared" si="3"/>
        <v>0</v>
      </c>
      <c r="N27" s="302">
        <f t="shared" si="3"/>
        <v>0</v>
      </c>
      <c r="O27" s="310">
        <f>E27*1+F27*1+G27*2+M27</f>
        <v>26.3</v>
      </c>
      <c r="P27" s="79">
        <f>(H27*1+I27*1+J27*1+K27*2+L27*2+N27)</f>
        <v>26.3</v>
      </c>
      <c r="V27" s="116"/>
      <c r="W27" s="487"/>
      <c r="X27" s="180">
        <f t="shared" ref="X27:AG27" si="4">X25+X26</f>
        <v>10.75</v>
      </c>
      <c r="Y27" s="180">
        <f t="shared" si="4"/>
        <v>1.25</v>
      </c>
      <c r="Z27" s="180">
        <f t="shared" si="4"/>
        <v>1.5</v>
      </c>
      <c r="AA27" s="180">
        <f t="shared" si="4"/>
        <v>0</v>
      </c>
      <c r="AB27" s="180">
        <f t="shared" si="4"/>
        <v>1</v>
      </c>
      <c r="AC27" s="180">
        <f t="shared" si="4"/>
        <v>6.5</v>
      </c>
      <c r="AD27" s="180">
        <f t="shared" si="4"/>
        <v>2.75</v>
      </c>
      <c r="AE27" s="180">
        <f t="shared" si="4"/>
        <v>1</v>
      </c>
      <c r="AF27" s="180">
        <f t="shared" si="4"/>
        <v>0</v>
      </c>
      <c r="AG27" s="488">
        <f t="shared" si="4"/>
        <v>0</v>
      </c>
      <c r="AH27" s="329">
        <f>X27*1+Y27*1+Z27*2+AF27</f>
        <v>15</v>
      </c>
      <c r="AI27" s="330">
        <f>(AA27*1+AB27*1+AC27*1+AD27*2+AE27*2+AG27)</f>
        <v>15</v>
      </c>
    </row>
    <row r="28" spans="3:35" ht="20.25" thickBot="1" x14ac:dyDescent="0.35">
      <c r="C28" s="116"/>
      <c r="D28" s="456"/>
      <c r="E28" s="186">
        <f xml:space="preserve"> ($O$25-$F$25-$F$26)/(($O$25-$F$25)+(1*$E$26)+(2*$G$26))</f>
        <v>1</v>
      </c>
      <c r="F28" s="187"/>
      <c r="G28" s="188">
        <f xml:space="preserve"> ($O$25-$F$25-$F$26)/(($O$25-$F$25)+(1*$E$26)+(2*$G$26))</f>
        <v>1</v>
      </c>
      <c r="H28" s="187"/>
      <c r="I28" s="189"/>
      <c r="J28" s="190">
        <f xml:space="preserve"> ($P$25-$I$25-$I$26)/(($P$25-$I$25)+(1*$J$26)+(2*$K$26)+(2*$L$26))</f>
        <v>1</v>
      </c>
      <c r="K28" s="191">
        <f xml:space="preserve"> ($P$25-$I$25-$I$26)/(($P$25-$I$25)+(1*$J$26)+(2*$K$26)+(2*$L$26))</f>
        <v>1</v>
      </c>
      <c r="L28" s="190">
        <f xml:space="preserve"> ($P$25-$I$25-$I$26)/(($P$25-$I$25)+(1*$J$26)+(2*$K$26)+(2*$L$26))</f>
        <v>1</v>
      </c>
      <c r="M28" s="75"/>
      <c r="N28" s="303"/>
      <c r="O28" s="311"/>
      <c r="P28" s="312"/>
      <c r="V28" s="116"/>
      <c r="W28" s="489"/>
      <c r="X28" s="186">
        <f xml:space="preserve"> ($AH$25-$Y$25-$Y$26)/(($AH$25-$Y$25)+(1*$X$26)+(2*$Z$26))</f>
        <v>1</v>
      </c>
      <c r="Y28" s="187"/>
      <c r="Z28" s="186">
        <f xml:space="preserve"> ($AH$25-$Y$25-$Y$26)/(($AH$25-$Y$25)+(1*$X$26)+(2*$Z$26))</f>
        <v>1</v>
      </c>
      <c r="AA28" s="187"/>
      <c r="AB28" s="189"/>
      <c r="AC28" s="186">
        <f xml:space="preserve"> ($AI$25-$AB$25-$AB$26)/(($AI$25-$AB$25)+(1*$AC$26)+(2*$AD$26)+(2*$AE$26))</f>
        <v>1</v>
      </c>
      <c r="AD28" s="186">
        <f xml:space="preserve"> ($AI$25-$AB$25-$AB$26)/(($AI$25-$AB$25)+(1*$AC$26)+(2*$AD$26)+(2*$AE$26))</f>
        <v>1</v>
      </c>
      <c r="AE28" s="186">
        <f xml:space="preserve"> ($AI$25-$AB$25-$AB$26)/(($AI$25-$AB$25)+(1*$AC$26)+(2*$AD$26)+(2*$AE$26))</f>
        <v>1</v>
      </c>
      <c r="AF28" s="490"/>
      <c r="AG28" s="474"/>
      <c r="AH28" s="324"/>
      <c r="AI28" s="325"/>
    </row>
    <row r="29" spans="3:35" ht="21.75" thickBot="1" x14ac:dyDescent="0.4">
      <c r="C29" s="116"/>
      <c r="D29" s="457"/>
      <c r="E29" s="449">
        <f>E27*E28</f>
        <v>16</v>
      </c>
      <c r="F29" s="72">
        <f>F27</f>
        <v>1.5</v>
      </c>
      <c r="G29" s="70">
        <f>G27*G28</f>
        <v>4.4000000000000004</v>
      </c>
      <c r="H29" s="72">
        <f>H27</f>
        <v>0</v>
      </c>
      <c r="I29" s="70">
        <f>I27</f>
        <v>1.2</v>
      </c>
      <c r="J29" s="72">
        <f>J27*J28</f>
        <v>9.5</v>
      </c>
      <c r="K29" s="70">
        <f>K27*K28</f>
        <v>5.4</v>
      </c>
      <c r="L29" s="72">
        <f>L27*L28</f>
        <v>2.4</v>
      </c>
      <c r="M29" s="71"/>
      <c r="N29" s="304"/>
      <c r="O29" s="308">
        <f xml:space="preserve"> E29*1+F29*1+G29*2+M29</f>
        <v>26.3</v>
      </c>
      <c r="P29" s="309">
        <f>(+H29*1+I29*1+J29*1+K29*2+L29*2+N29)</f>
        <v>26.3</v>
      </c>
      <c r="V29" s="116"/>
      <c r="W29" s="491"/>
      <c r="X29" s="72">
        <f>X27*X28</f>
        <v>10.75</v>
      </c>
      <c r="Y29" s="72">
        <f>Y27</f>
        <v>1.25</v>
      </c>
      <c r="Z29" s="70">
        <f>Z27*Z28</f>
        <v>1.5</v>
      </c>
      <c r="AA29" s="72">
        <f>AA27</f>
        <v>0</v>
      </c>
      <c r="AB29" s="70">
        <f>AB27</f>
        <v>1</v>
      </c>
      <c r="AC29" s="72">
        <f>AC27*AC28</f>
        <v>6.5</v>
      </c>
      <c r="AD29" s="70">
        <f>AD27*AD28</f>
        <v>2.75</v>
      </c>
      <c r="AE29" s="72">
        <f>AE27*AE28</f>
        <v>1</v>
      </c>
      <c r="AF29" s="71"/>
      <c r="AG29" s="492"/>
      <c r="AH29" s="326">
        <f>IF(X29&gt;0,(X29+Y29+Z29*2+AF29),0.00001)</f>
        <v>15</v>
      </c>
      <c r="AI29" s="331">
        <f>IF(Y29&gt;0,(AB29+AC29+AD29*2+AE29*2),0.00001)</f>
        <v>15</v>
      </c>
    </row>
    <row r="30" spans="3:35" ht="21" thickBot="1" x14ac:dyDescent="0.35">
      <c r="C30" s="116"/>
      <c r="D30" s="458">
        <f>IF(($C$5-($N$15*0.1))&gt;1.5,($C$5-($N$15*0.1)),1.5)</f>
        <v>2.63</v>
      </c>
      <c r="E30" s="450">
        <f>(10*$D$30-$F$29)/($O$29 -$F$29)</f>
        <v>0.99999999999999989</v>
      </c>
      <c r="F30" s="73"/>
      <c r="G30" s="182">
        <f>(10*$D$30-$F$29)/($O$29 -$F$29)</f>
        <v>0.99999999999999989</v>
      </c>
      <c r="H30" s="73"/>
      <c r="I30" s="74"/>
      <c r="J30" s="183">
        <f>(10*$D$30 -$I$29)/($P$29-$I$29)</f>
        <v>0.99999999999999989</v>
      </c>
      <c r="K30" s="184">
        <f>(10*$D$30 -$I$29)/($P$29-$I$29)</f>
        <v>0.99999999999999989</v>
      </c>
      <c r="L30" s="185">
        <f>(10*$D$30 -$I$29)/($P$29-$I$29)</f>
        <v>0.99999999999999989</v>
      </c>
      <c r="M30" s="78"/>
      <c r="N30" s="232"/>
      <c r="O30" s="308"/>
      <c r="P30" s="309"/>
      <c r="V30" s="116"/>
      <c r="W30" s="493">
        <f>IF(($C$5-($N$15*0.1))&gt;1.5,($C$5-($N$15*0.1)),1.5)</f>
        <v>2.63</v>
      </c>
      <c r="X30" s="181">
        <f>(10*$W$30-$Y$29)/($AH$29 -$Y$29)</f>
        <v>1.8218181818181816</v>
      </c>
      <c r="Y30" s="73"/>
      <c r="Z30" s="181">
        <f>(10*$D$30-$Y$29)/($AH$29 -$Y$29)</f>
        <v>1.8218181818181816</v>
      </c>
      <c r="AA30" s="73"/>
      <c r="AB30" s="74"/>
      <c r="AC30" s="183">
        <f>(10*$W$30 -$AB$29)/($AI$29-$AB$29)</f>
        <v>1.8071428571428569</v>
      </c>
      <c r="AD30" s="183">
        <f>(10*$D$30 -$AB$29)/($AI$29-$AB$29)</f>
        <v>1.8071428571428569</v>
      </c>
      <c r="AE30" s="183">
        <f>(10*$D$30 -$AB$29)/($AI$29-$AB$29)</f>
        <v>1.8071428571428569</v>
      </c>
      <c r="AF30" s="78"/>
      <c r="AG30" s="393"/>
      <c r="AH30" s="328"/>
      <c r="AI30" s="327"/>
    </row>
    <row r="31" spans="3:35" ht="21" thickBot="1" x14ac:dyDescent="0.35">
      <c r="C31" s="116"/>
      <c r="D31" s="459"/>
      <c r="E31" s="451">
        <f xml:space="preserve"> E29*E30</f>
        <v>15.999999999999998</v>
      </c>
      <c r="F31" s="123">
        <f>F29</f>
        <v>1.5</v>
      </c>
      <c r="G31" s="124">
        <f>G29*G30</f>
        <v>4.3999999999999995</v>
      </c>
      <c r="H31" s="123">
        <f>H29</f>
        <v>0</v>
      </c>
      <c r="I31" s="123">
        <f>I29</f>
        <v>1.2</v>
      </c>
      <c r="J31" s="124">
        <f>J29*J30</f>
        <v>9.4999999999999982</v>
      </c>
      <c r="K31" s="123">
        <f>K29*K30</f>
        <v>5.3999999999999995</v>
      </c>
      <c r="L31" s="125">
        <f>L29*L30</f>
        <v>2.3999999999999995</v>
      </c>
      <c r="M31" s="126"/>
      <c r="N31" s="305"/>
      <c r="O31" s="308">
        <f xml:space="preserve"> E31*1+F31*1+G31*2+M31</f>
        <v>26.299999999999997</v>
      </c>
      <c r="P31" s="309">
        <f xml:space="preserve"> (+H31*1+I31*1+J31*1+K31*2+L31*2+N31)</f>
        <v>26.299999999999997</v>
      </c>
      <c r="V31" s="116"/>
      <c r="W31" s="494"/>
      <c r="X31" s="122">
        <f xml:space="preserve"> X29*X30</f>
        <v>19.584545454545452</v>
      </c>
      <c r="Y31" s="123">
        <f>Y29</f>
        <v>1.25</v>
      </c>
      <c r="Z31" s="124">
        <f>Z29*Z30</f>
        <v>2.7327272727272724</v>
      </c>
      <c r="AA31" s="123">
        <f>AA29</f>
        <v>0</v>
      </c>
      <c r="AB31" s="123">
        <f>AB29</f>
        <v>1</v>
      </c>
      <c r="AC31" s="124">
        <f>AC29*AC30</f>
        <v>11.74642857142857</v>
      </c>
      <c r="AD31" s="123">
        <f>AD29*AD30</f>
        <v>4.9696428571428566</v>
      </c>
      <c r="AE31" s="125">
        <f>AE29*AE30</f>
        <v>1.8071428571428569</v>
      </c>
      <c r="AF31" s="126"/>
      <c r="AG31" s="495"/>
      <c r="AH31" s="328">
        <f xml:space="preserve"> X31*1+Y31*1+Z31*2+AF31</f>
        <v>26.299999999999997</v>
      </c>
      <c r="AI31" s="327">
        <f xml:space="preserve"> (+AA31*1+AB31*1+AC31*1+AD31*2+AE31*2+AG31)</f>
        <v>26.299999999999997</v>
      </c>
    </row>
    <row r="32" spans="3:35" ht="21" thickBot="1" x14ac:dyDescent="0.35">
      <c r="C32" s="116"/>
      <c r="D32" s="460"/>
      <c r="E32" s="120">
        <f>E15</f>
        <v>0</v>
      </c>
      <c r="F32" s="120">
        <f>F15</f>
        <v>0</v>
      </c>
      <c r="G32" s="120">
        <f>G15</f>
        <v>0</v>
      </c>
      <c r="H32" s="121">
        <f>O15</f>
        <v>0</v>
      </c>
      <c r="I32" s="120">
        <f t="shared" ref="I32:N32" si="5">I15</f>
        <v>0</v>
      </c>
      <c r="J32" s="120">
        <f t="shared" si="5"/>
        <v>0</v>
      </c>
      <c r="K32" s="120">
        <f t="shared" si="5"/>
        <v>0</v>
      </c>
      <c r="L32" s="120">
        <f t="shared" si="5"/>
        <v>0</v>
      </c>
      <c r="M32" s="120">
        <f t="shared" si="5"/>
        <v>0</v>
      </c>
      <c r="N32" s="120">
        <f t="shared" si="5"/>
        <v>0</v>
      </c>
      <c r="O32" s="310">
        <f>E32*1+F32*1+G32*2 +H32</f>
        <v>0</v>
      </c>
      <c r="P32" s="79">
        <f>(I32*1+J32*1+K32*2+L32*2)</f>
        <v>0</v>
      </c>
      <c r="V32" s="116"/>
      <c r="W32" s="496"/>
      <c r="X32" s="497">
        <f>X15</f>
        <v>0</v>
      </c>
      <c r="Y32" s="497">
        <f>Y15</f>
        <v>0</v>
      </c>
      <c r="Z32" s="497">
        <f>Z15</f>
        <v>0</v>
      </c>
      <c r="AA32" s="498">
        <f>AH15</f>
        <v>0</v>
      </c>
      <c r="AB32" s="497">
        <f t="shared" ref="AB32:AG32" si="6">AB15</f>
        <v>0</v>
      </c>
      <c r="AC32" s="497">
        <f t="shared" si="6"/>
        <v>0</v>
      </c>
      <c r="AD32" s="497">
        <f t="shared" si="6"/>
        <v>0</v>
      </c>
      <c r="AE32" s="497">
        <f t="shared" si="6"/>
        <v>0</v>
      </c>
      <c r="AF32" s="497">
        <f t="shared" si="6"/>
        <v>0</v>
      </c>
      <c r="AG32" s="499">
        <f t="shared" si="6"/>
        <v>0</v>
      </c>
      <c r="AH32" s="329">
        <f>X32*1+Y32*1+Z32*2 +AA32</f>
        <v>0</v>
      </c>
      <c r="AI32" s="330">
        <f>(AB32*1+AC32*1+AD32*2+AE32*2)</f>
        <v>0</v>
      </c>
    </row>
    <row r="33" spans="3:40" ht="21" thickBot="1" x14ac:dyDescent="0.35">
      <c r="C33" s="411"/>
      <c r="D33" s="409"/>
      <c r="E33" s="113">
        <f>E31-E32</f>
        <v>15.999999999999998</v>
      </c>
      <c r="F33" s="113">
        <f>F31</f>
        <v>1.5</v>
      </c>
      <c r="G33" s="114">
        <f>G31-G32</f>
        <v>4.3999999999999995</v>
      </c>
      <c r="H33" s="113">
        <f>H32</f>
        <v>0</v>
      </c>
      <c r="I33" s="113">
        <f>I31</f>
        <v>1.2</v>
      </c>
      <c r="J33" s="114">
        <f>J31-J32</f>
        <v>9.4999999999999982</v>
      </c>
      <c r="K33" s="113">
        <f>K31-K32</f>
        <v>5.3999999999999995</v>
      </c>
      <c r="L33" s="115">
        <f>L31-L32</f>
        <v>2.3999999999999995</v>
      </c>
      <c r="M33" s="114"/>
      <c r="N33" s="306"/>
      <c r="O33" s="313">
        <f xml:space="preserve"> E33*1+F33*1+G33*2+M33</f>
        <v>26.299999999999997</v>
      </c>
      <c r="P33" s="314">
        <f xml:space="preserve"> (I33*1+J33*1+K33*2+L33*2+N33)</f>
        <v>26.299999999999997</v>
      </c>
      <c r="W33" s="51"/>
      <c r="X33" s="477">
        <f>X31-X32</f>
        <v>19.584545454545452</v>
      </c>
      <c r="Y33" s="477">
        <f>Y31</f>
        <v>1.25</v>
      </c>
      <c r="Z33" s="478">
        <f>Z31-Z32</f>
        <v>2.7327272727272724</v>
      </c>
      <c r="AA33" s="477">
        <f>AA32</f>
        <v>0</v>
      </c>
      <c r="AB33" s="477">
        <f>AB31</f>
        <v>1</v>
      </c>
      <c r="AC33" s="478">
        <f>AC31-AC32</f>
        <v>11.74642857142857</v>
      </c>
      <c r="AD33" s="477">
        <f>AD31-AD32</f>
        <v>4.9696428571428566</v>
      </c>
      <c r="AE33" s="479">
        <f>AE31-AE32</f>
        <v>1.8071428571428569</v>
      </c>
      <c r="AF33" s="478"/>
      <c r="AG33" s="480"/>
      <c r="AH33" s="332">
        <f xml:space="preserve"> X33*1+Y33*1+Z33*2+AF33</f>
        <v>26.299999999999997</v>
      </c>
      <c r="AI33" s="333">
        <f xml:space="preserve"> (AB33*1+AC33*1+AD33*2+AE33*2+AG33)</f>
        <v>26.299999999999997</v>
      </c>
      <c r="AJ33" s="307"/>
      <c r="AK33" s="159"/>
      <c r="AL33" s="192"/>
      <c r="AM33" s="150"/>
      <c r="AN33" s="151"/>
    </row>
    <row r="34" spans="3:40" ht="42" customHeight="1" thickBot="1" x14ac:dyDescent="0.35">
      <c r="C34" s="195" t="s">
        <v>9</v>
      </c>
      <c r="D34" s="33">
        <f>K34/5</f>
        <v>1.0799999999999998</v>
      </c>
      <c r="E34" s="55">
        <f>D34*11</f>
        <v>11.879999999999999</v>
      </c>
      <c r="F34" s="42"/>
      <c r="G34" s="17"/>
      <c r="H34" s="18"/>
      <c r="I34" s="56">
        <f>D34</f>
        <v>1.0799999999999998</v>
      </c>
      <c r="J34" s="57"/>
      <c r="K34" s="58">
        <f>K33</f>
        <v>5.3999999999999995</v>
      </c>
      <c r="L34" s="62"/>
      <c r="M34" s="66"/>
      <c r="N34" s="76"/>
      <c r="O34" s="80"/>
      <c r="P34" s="81"/>
      <c r="Q34" s="156">
        <v>1080.5</v>
      </c>
      <c r="R34" s="196" t="s">
        <v>70</v>
      </c>
      <c r="S34" s="193">
        <f xml:space="preserve"> IF(D34&gt;=0,(D34*Q34/10),0)</f>
        <v>116.69399999999999</v>
      </c>
      <c r="T34" s="152"/>
      <c r="U34" s="153"/>
      <c r="W34" s="500">
        <f>AD34/5</f>
        <v>0.99392857142857127</v>
      </c>
      <c r="X34" s="55">
        <f>W34*11</f>
        <v>10.933214285714284</v>
      </c>
      <c r="Y34" s="42"/>
      <c r="Z34" s="17"/>
      <c r="AA34" s="18"/>
      <c r="AB34" s="56">
        <f>W34</f>
        <v>0.99392857142857127</v>
      </c>
      <c r="AC34" s="57"/>
      <c r="AD34" s="58">
        <f>AD33</f>
        <v>4.9696428571428566</v>
      </c>
      <c r="AE34" s="62"/>
      <c r="AF34" s="66"/>
      <c r="AG34" s="76"/>
      <c r="AH34" s="80"/>
      <c r="AI34" s="81"/>
      <c r="AJ34" s="156">
        <v>1080.5</v>
      </c>
      <c r="AK34" s="196" t="s">
        <v>70</v>
      </c>
      <c r="AL34" s="193">
        <f xml:space="preserve"> IF(W34&gt;=0,(W34*AJ34/10),0)</f>
        <v>107.39398214285714</v>
      </c>
      <c r="AM34" s="152"/>
      <c r="AN34" s="153"/>
    </row>
    <row r="35" spans="3:40" ht="27" customHeight="1" thickBot="1" x14ac:dyDescent="0.35">
      <c r="C35" s="82" t="s">
        <v>0</v>
      </c>
      <c r="D35" s="34">
        <f>L35</f>
        <v>2.3999999999999995</v>
      </c>
      <c r="E35" s="46"/>
      <c r="F35" s="40"/>
      <c r="G35" s="12">
        <f>L35</f>
        <v>2.3999999999999995</v>
      </c>
      <c r="H35" s="14"/>
      <c r="I35" s="14"/>
      <c r="J35" s="15"/>
      <c r="K35" s="59"/>
      <c r="L35" s="63">
        <f>IF(L33&lt;G33,L33,G33)</f>
        <v>2.3999999999999995</v>
      </c>
      <c r="M35" s="67"/>
      <c r="N35" s="69"/>
      <c r="O35" s="80"/>
      <c r="P35" s="80"/>
      <c r="Q35" s="157">
        <v>246.3</v>
      </c>
      <c r="R35" s="160" t="s">
        <v>51</v>
      </c>
      <c r="S35" s="193">
        <f t="shared" ref="S35:S43" si="7" xml:space="preserve"> IF(D35&gt;=0,(D35*Q35/10),0)</f>
        <v>59.111999999999988</v>
      </c>
      <c r="T35" s="154"/>
      <c r="U35" s="155"/>
      <c r="W35" s="501">
        <f>AE35</f>
        <v>1.8071428571428569</v>
      </c>
      <c r="X35" s="46"/>
      <c r="Y35" s="40"/>
      <c r="Z35" s="12">
        <f>AE35</f>
        <v>1.8071428571428569</v>
      </c>
      <c r="AA35" s="14"/>
      <c r="AB35" s="14"/>
      <c r="AC35" s="15"/>
      <c r="AD35" s="59"/>
      <c r="AE35" s="63">
        <f>IF(AE33&lt;Z33,AE33,Z33)</f>
        <v>1.8071428571428569</v>
      </c>
      <c r="AF35" s="67"/>
      <c r="AG35" s="69"/>
      <c r="AH35" s="80"/>
      <c r="AI35" s="80"/>
      <c r="AJ35" s="157">
        <v>246.3</v>
      </c>
      <c r="AK35" s="160" t="s">
        <v>51</v>
      </c>
      <c r="AL35" s="193">
        <f t="shared" ref="AL35:AL43" si="8" xml:space="preserve"> IF(W35&gt;=0,(W35*AJ35/10),0)</f>
        <v>44.509928571428567</v>
      </c>
      <c r="AM35" s="154"/>
      <c r="AN35" s="155"/>
    </row>
    <row r="36" spans="3:40" ht="27.75" customHeight="1" thickBot="1" x14ac:dyDescent="0.35">
      <c r="C36" s="82" t="s">
        <v>10</v>
      </c>
      <c r="D36" s="35">
        <f>L36</f>
        <v>0</v>
      </c>
      <c r="E36" s="22">
        <f>L36*2</f>
        <v>0</v>
      </c>
      <c r="F36" s="41"/>
      <c r="G36" s="23"/>
      <c r="H36" s="23"/>
      <c r="I36" s="23"/>
      <c r="J36" s="24"/>
      <c r="K36" s="60"/>
      <c r="L36" s="64">
        <f>IF(L33&gt;L35,L33-L35,0)</f>
        <v>0</v>
      </c>
      <c r="M36" s="67"/>
      <c r="N36" s="69"/>
      <c r="O36" s="80"/>
      <c r="P36" s="80"/>
      <c r="Q36" s="157">
        <v>256.3</v>
      </c>
      <c r="R36" s="160" t="s">
        <v>52</v>
      </c>
      <c r="S36" s="193">
        <f t="shared" si="7"/>
        <v>0</v>
      </c>
      <c r="T36" s="154"/>
      <c r="U36" s="155"/>
      <c r="V36" s="116"/>
      <c r="W36" s="502">
        <f>AE36</f>
        <v>0</v>
      </c>
      <c r="X36" s="22">
        <f>AE36*2</f>
        <v>0</v>
      </c>
      <c r="Y36" s="41"/>
      <c r="Z36" s="23"/>
      <c r="AA36" s="23"/>
      <c r="AB36" s="23"/>
      <c r="AC36" s="24"/>
      <c r="AD36" s="60"/>
      <c r="AE36" s="64">
        <f>IF(AE33&gt;AE35,AE33-AE35,0)</f>
        <v>0</v>
      </c>
      <c r="AF36" s="67"/>
      <c r="AG36" s="69"/>
      <c r="AH36" s="80"/>
      <c r="AI36" s="80"/>
      <c r="AJ36" s="157">
        <v>256.3</v>
      </c>
      <c r="AK36" s="160" t="s">
        <v>52</v>
      </c>
      <c r="AL36" s="193">
        <f t="shared" si="8"/>
        <v>0</v>
      </c>
      <c r="AM36" s="154"/>
      <c r="AN36" s="155"/>
    </row>
    <row r="37" spans="3:40" ht="21.75" customHeight="1" thickBot="1" x14ac:dyDescent="0.35">
      <c r="C37" s="16" t="s">
        <v>1</v>
      </c>
      <c r="D37" s="36">
        <f>G37</f>
        <v>2</v>
      </c>
      <c r="E37" s="47"/>
      <c r="F37" s="42"/>
      <c r="G37" s="18">
        <f>G33-G35</f>
        <v>2</v>
      </c>
      <c r="H37" s="17"/>
      <c r="I37" s="17"/>
      <c r="J37" s="18">
        <f>G37*2</f>
        <v>4</v>
      </c>
      <c r="K37" s="19"/>
      <c r="L37" s="47"/>
      <c r="M37" s="67"/>
      <c r="N37" s="69"/>
      <c r="O37" s="80"/>
      <c r="P37" s="80"/>
      <c r="Q37" s="157">
        <v>174.3</v>
      </c>
      <c r="R37" s="160" t="s">
        <v>53</v>
      </c>
      <c r="S37" s="193">
        <f t="shared" si="7"/>
        <v>34.86</v>
      </c>
      <c r="T37" s="154"/>
      <c r="U37" s="155"/>
      <c r="V37" s="116"/>
      <c r="W37" s="503">
        <f>Z37</f>
        <v>0.92558441558441551</v>
      </c>
      <c r="X37" s="47"/>
      <c r="Y37" s="42"/>
      <c r="Z37" s="18">
        <f>Z33-Z35</f>
        <v>0.92558441558441551</v>
      </c>
      <c r="AA37" s="17"/>
      <c r="AB37" s="17"/>
      <c r="AC37" s="18">
        <f>Z37*2</f>
        <v>1.851168831168831</v>
      </c>
      <c r="AD37" s="19"/>
      <c r="AE37" s="47"/>
      <c r="AF37" s="67"/>
      <c r="AG37" s="69"/>
      <c r="AH37" s="80"/>
      <c r="AI37" s="80"/>
      <c r="AJ37" s="157">
        <v>174.3</v>
      </c>
      <c r="AK37" s="160" t="s">
        <v>53</v>
      </c>
      <c r="AL37" s="193">
        <f t="shared" si="8"/>
        <v>16.132936363636365</v>
      </c>
      <c r="AM37" s="154"/>
      <c r="AN37" s="155"/>
    </row>
    <row r="38" spans="3:40" ht="28.5" customHeight="1" thickBot="1" x14ac:dyDescent="0.35">
      <c r="C38" s="83" t="s">
        <v>2</v>
      </c>
      <c r="D38" s="33">
        <f>I38</f>
        <v>0.12000000000000011</v>
      </c>
      <c r="E38" s="48">
        <f>I38</f>
        <v>0.12000000000000011</v>
      </c>
      <c r="F38" s="43"/>
      <c r="G38" s="26"/>
      <c r="H38" s="26"/>
      <c r="I38" s="25">
        <f xml:space="preserve"> IF((I33&gt;I34),(I33-I34),0)</f>
        <v>0.12000000000000011</v>
      </c>
      <c r="J38" s="26"/>
      <c r="K38" s="27"/>
      <c r="L38" s="65"/>
      <c r="M38" s="67"/>
      <c r="N38" s="69"/>
      <c r="O38" s="80"/>
      <c r="P38" s="80"/>
      <c r="Q38" s="157">
        <v>80</v>
      </c>
      <c r="R38" s="160" t="s">
        <v>54</v>
      </c>
      <c r="S38" s="193">
        <f t="shared" si="7"/>
        <v>0.96000000000000085</v>
      </c>
      <c r="T38" s="154"/>
      <c r="U38" s="155"/>
      <c r="V38" s="116"/>
      <c r="W38" s="504">
        <f>AB38</f>
        <v>6.0714285714287275E-3</v>
      </c>
      <c r="X38" s="48">
        <f>AB38</f>
        <v>6.0714285714287275E-3</v>
      </c>
      <c r="Y38" s="43"/>
      <c r="Z38" s="26"/>
      <c r="AA38" s="26"/>
      <c r="AB38" s="25">
        <f xml:space="preserve"> IF((AB33&gt;AB34),(AB33-AB34),0)</f>
        <v>6.0714285714287275E-3</v>
      </c>
      <c r="AC38" s="26"/>
      <c r="AD38" s="27"/>
      <c r="AE38" s="65"/>
      <c r="AF38" s="67"/>
      <c r="AG38" s="69"/>
      <c r="AH38" s="80"/>
      <c r="AI38" s="80"/>
      <c r="AJ38" s="157">
        <v>80</v>
      </c>
      <c r="AK38" s="160" t="s">
        <v>54</v>
      </c>
      <c r="AL38" s="193">
        <f t="shared" si="8"/>
        <v>4.857142857142982E-2</v>
      </c>
      <c r="AM38" s="154"/>
      <c r="AN38" s="155"/>
    </row>
    <row r="39" spans="3:40" ht="23.25" customHeight="1" thickBot="1" x14ac:dyDescent="0.35">
      <c r="C39" s="84" t="s">
        <v>3</v>
      </c>
      <c r="D39" s="37">
        <f>F39</f>
        <v>0</v>
      </c>
      <c r="E39" s="49"/>
      <c r="F39" s="44">
        <f>IF(F33&lt;ABS(H33),F33,ABS(H33))</f>
        <v>0</v>
      </c>
      <c r="G39" s="11"/>
      <c r="H39" s="10">
        <f>F39</f>
        <v>0</v>
      </c>
      <c r="I39" s="11"/>
      <c r="J39" s="11"/>
      <c r="K39" s="13"/>
      <c r="L39" s="49"/>
      <c r="M39" s="67"/>
      <c r="N39" s="69"/>
      <c r="O39" s="80"/>
      <c r="P39" s="80"/>
      <c r="Q39" s="157">
        <v>98</v>
      </c>
      <c r="R39" s="160" t="s">
        <v>55</v>
      </c>
      <c r="S39" s="193">
        <f t="shared" si="7"/>
        <v>0</v>
      </c>
      <c r="T39" s="271">
        <f>Q39/(0.01*Δεδομένα!F39)</f>
        <v>115.29411764705883</v>
      </c>
      <c r="U39" s="270">
        <f>(D39*T39)/10</f>
        <v>0</v>
      </c>
      <c r="V39" s="116"/>
      <c r="W39" s="505">
        <f>Y39</f>
        <v>0</v>
      </c>
      <c r="X39" s="49"/>
      <c r="Y39" s="44">
        <f>IF(Y33&lt;ABS(AA33),Y33,ABS(AA33))</f>
        <v>0</v>
      </c>
      <c r="Z39" s="11"/>
      <c r="AA39" s="10">
        <f>Y39</f>
        <v>0</v>
      </c>
      <c r="AB39" s="11"/>
      <c r="AC39" s="11"/>
      <c r="AD39" s="13"/>
      <c r="AE39" s="49"/>
      <c r="AF39" s="67"/>
      <c r="AG39" s="69"/>
      <c r="AH39" s="80"/>
      <c r="AI39" s="80"/>
      <c r="AJ39" s="157">
        <v>98</v>
      </c>
      <c r="AK39" s="160" t="s">
        <v>55</v>
      </c>
      <c r="AL39" s="193">
        <f t="shared" si="8"/>
        <v>0</v>
      </c>
      <c r="AM39" s="271">
        <f>AJ39/(Δεδομένα!$F$39*0.01)</f>
        <v>115.29411764705883</v>
      </c>
      <c r="AN39" s="270">
        <f>(W39*AM39)/10</f>
        <v>0</v>
      </c>
    </row>
    <row r="40" spans="3:40" ht="26.25" customHeight="1" thickBot="1" x14ac:dyDescent="0.35">
      <c r="C40" s="28" t="s">
        <v>4</v>
      </c>
      <c r="D40" s="38">
        <f>F40</f>
        <v>1.5</v>
      </c>
      <c r="E40" s="50"/>
      <c r="F40" s="45">
        <f>IF(F33&gt;F39,F33-F39,0)</f>
        <v>1.5</v>
      </c>
      <c r="G40" s="29"/>
      <c r="H40" s="30"/>
      <c r="I40" s="29"/>
      <c r="J40" s="30">
        <f>D40</f>
        <v>1.5</v>
      </c>
      <c r="K40" s="31"/>
      <c r="L40" s="50"/>
      <c r="M40" s="67"/>
      <c r="N40" s="69"/>
      <c r="O40" s="80"/>
      <c r="P40" s="80"/>
      <c r="Q40" s="157">
        <v>136.1</v>
      </c>
      <c r="R40" s="160" t="s">
        <v>56</v>
      </c>
      <c r="S40" s="193">
        <f t="shared" si="7"/>
        <v>20.414999999999999</v>
      </c>
      <c r="T40" s="154"/>
      <c r="U40" s="270"/>
      <c r="V40" s="116"/>
      <c r="W40" s="506">
        <f>Y40</f>
        <v>1.25</v>
      </c>
      <c r="X40" s="50"/>
      <c r="Y40" s="45">
        <f>IF(Y33&gt;Y39,Y33-Y39,0)</f>
        <v>1.25</v>
      </c>
      <c r="Z40" s="29"/>
      <c r="AA40" s="30"/>
      <c r="AB40" s="29"/>
      <c r="AC40" s="30">
        <f>W40</f>
        <v>1.25</v>
      </c>
      <c r="AD40" s="31"/>
      <c r="AE40" s="50"/>
      <c r="AF40" s="86"/>
      <c r="AG40" s="77"/>
      <c r="AH40" s="80"/>
      <c r="AI40" s="80"/>
      <c r="AJ40" s="157">
        <v>136.1</v>
      </c>
      <c r="AK40" s="160" t="s">
        <v>56</v>
      </c>
      <c r="AL40" s="193">
        <f t="shared" si="8"/>
        <v>17.012499999999999</v>
      </c>
      <c r="AM40" s="271"/>
      <c r="AN40" s="270"/>
    </row>
    <row r="41" spans="3:40" ht="21" thickBot="1" x14ac:dyDescent="0.35">
      <c r="C41" s="85" t="s">
        <v>5</v>
      </c>
      <c r="D41" s="32">
        <f>J41</f>
        <v>0</v>
      </c>
      <c r="E41" s="51"/>
      <c r="F41" s="53"/>
      <c r="G41" s="51"/>
      <c r="H41" s="51"/>
      <c r="I41" s="51"/>
      <c r="J41" s="54">
        <f>M41</f>
        <v>0</v>
      </c>
      <c r="K41" s="61"/>
      <c r="L41" s="51"/>
      <c r="M41" s="68">
        <f>IF(M33&gt;0,M33,0)</f>
        <v>0</v>
      </c>
      <c r="N41" s="69"/>
      <c r="O41" s="80"/>
      <c r="P41" s="80"/>
      <c r="Q41" s="157">
        <v>74.599999999999994</v>
      </c>
      <c r="R41" s="160" t="s">
        <v>5</v>
      </c>
      <c r="S41" s="193">
        <f t="shared" si="7"/>
        <v>0</v>
      </c>
      <c r="T41" s="154"/>
      <c r="U41" s="270"/>
      <c r="V41" s="116"/>
      <c r="W41" s="507">
        <f>AC41</f>
        <v>0</v>
      </c>
      <c r="X41" s="51"/>
      <c r="Y41" s="53"/>
      <c r="Z41" s="51"/>
      <c r="AA41" s="51"/>
      <c r="AB41" s="51"/>
      <c r="AC41" s="54">
        <f>AF41</f>
        <v>0</v>
      </c>
      <c r="AD41" s="61"/>
      <c r="AE41" s="61"/>
      <c r="AF41" s="442">
        <f>AF33</f>
        <v>0</v>
      </c>
      <c r="AG41" s="441"/>
      <c r="AH41" s="80"/>
      <c r="AI41" s="80"/>
      <c r="AJ41" s="157">
        <v>74.599999999999994</v>
      </c>
      <c r="AK41" s="160" t="s">
        <v>5</v>
      </c>
      <c r="AL41" s="193">
        <f t="shared" si="8"/>
        <v>0</v>
      </c>
      <c r="AM41" s="271"/>
      <c r="AN41" s="270"/>
    </row>
    <row r="42" spans="3:40" ht="21" thickBot="1" x14ac:dyDescent="0.35">
      <c r="C42" s="84" t="s">
        <v>6</v>
      </c>
      <c r="D42" s="39">
        <f>J42</f>
        <v>3.9999999999999982</v>
      </c>
      <c r="E42" s="52">
        <f>J42</f>
        <v>3.9999999999999982</v>
      </c>
      <c r="F42" s="42"/>
      <c r="G42" s="17"/>
      <c r="H42" s="17"/>
      <c r="I42" s="17"/>
      <c r="J42" s="18">
        <f>J33-J37-J40-J41</f>
        <v>3.9999999999999982</v>
      </c>
      <c r="K42" s="19"/>
      <c r="L42" s="47"/>
      <c r="M42" s="67"/>
      <c r="N42" s="69"/>
      <c r="O42" s="80"/>
      <c r="P42" s="80"/>
      <c r="Q42" s="157">
        <v>101.1</v>
      </c>
      <c r="R42" s="160" t="s">
        <v>57</v>
      </c>
      <c r="S42" s="193">
        <f t="shared" si="7"/>
        <v>40.439999999999984</v>
      </c>
      <c r="T42" s="154"/>
      <c r="U42" s="270"/>
      <c r="V42" s="116"/>
      <c r="W42" s="503">
        <f>AC42</f>
        <v>8.6452597402597391</v>
      </c>
      <c r="X42" s="52">
        <f>AC42</f>
        <v>8.6452597402597391</v>
      </c>
      <c r="Y42" s="42"/>
      <c r="Z42" s="17"/>
      <c r="AA42" s="17"/>
      <c r="AB42" s="17"/>
      <c r="AC42" s="18">
        <f>AC33-AC37-AC40-AC41</f>
        <v>8.6452597402597391</v>
      </c>
      <c r="AD42" s="19"/>
      <c r="AE42" s="47"/>
      <c r="AF42" s="66"/>
      <c r="AG42" s="76"/>
      <c r="AH42" s="80"/>
      <c r="AI42" s="80"/>
      <c r="AJ42" s="157">
        <v>101.1</v>
      </c>
      <c r="AK42" s="160" t="s">
        <v>57</v>
      </c>
      <c r="AL42" s="193">
        <f t="shared" si="8"/>
        <v>87.403575974025955</v>
      </c>
      <c r="AM42" s="271"/>
      <c r="AN42" s="270"/>
    </row>
    <row r="43" spans="3:40" ht="21" thickBot="1" x14ac:dyDescent="0.35">
      <c r="C43" s="82" t="s">
        <v>7</v>
      </c>
      <c r="D43" s="34">
        <f>E43</f>
        <v>0</v>
      </c>
      <c r="E43" s="63">
        <f>H43</f>
        <v>0</v>
      </c>
      <c r="F43" s="40"/>
      <c r="G43" s="14"/>
      <c r="H43" s="12">
        <f>IF(H33=0,0,H33-H39)</f>
        <v>0</v>
      </c>
      <c r="I43" s="14"/>
      <c r="J43" s="14"/>
      <c r="K43" s="15"/>
      <c r="L43" s="46"/>
      <c r="M43" s="86"/>
      <c r="N43" s="77"/>
      <c r="O43" s="80"/>
      <c r="P43" s="80"/>
      <c r="Q43" s="158">
        <v>63</v>
      </c>
      <c r="R43" s="161" t="s">
        <v>58</v>
      </c>
      <c r="S43" s="194">
        <f t="shared" si="7"/>
        <v>0</v>
      </c>
      <c r="T43" s="301">
        <f>Q43/(0.01*Δεδομένα!F43)</f>
        <v>91.304347826086953</v>
      </c>
      <c r="U43" s="294">
        <f>(D43*T43)/10</f>
        <v>0</v>
      </c>
      <c r="V43" s="116"/>
      <c r="W43" s="501">
        <f>X43</f>
        <v>0</v>
      </c>
      <c r="X43" s="63">
        <f>AA43</f>
        <v>0</v>
      </c>
      <c r="Y43" s="40"/>
      <c r="Z43" s="14"/>
      <c r="AA43" s="12">
        <f>IF(AA33=0,0,AA33-AA39)</f>
        <v>0</v>
      </c>
      <c r="AB43" s="14"/>
      <c r="AC43" s="14"/>
      <c r="AD43" s="15"/>
      <c r="AE43" s="46"/>
      <c r="AF43" s="86"/>
      <c r="AG43" s="77"/>
      <c r="AH43" s="80"/>
      <c r="AI43" s="80"/>
      <c r="AJ43" s="158">
        <v>63</v>
      </c>
      <c r="AK43" s="161" t="s">
        <v>58</v>
      </c>
      <c r="AL43" s="194">
        <f t="shared" si="8"/>
        <v>0</v>
      </c>
      <c r="AM43" s="293">
        <f>AJ43/(0.01*Δεδομένα!F43)</f>
        <v>91.304347826086953</v>
      </c>
      <c r="AN43" s="294">
        <f>(W43*AM43)/10</f>
        <v>0</v>
      </c>
    </row>
    <row r="44" spans="3:40" ht="21" thickBot="1" x14ac:dyDescent="0.3">
      <c r="C44" s="20" t="s">
        <v>8</v>
      </c>
      <c r="D44" s="21"/>
      <c r="E44" s="162">
        <f>SUM(E34+E36+E38+E42+E43)</f>
        <v>15.999999999999998</v>
      </c>
      <c r="F44" s="163">
        <f t="shared" ref="F44:L44" si="9">SUM(F34:F43)</f>
        <v>1.5</v>
      </c>
      <c r="G44" s="163">
        <f t="shared" si="9"/>
        <v>4.3999999999999995</v>
      </c>
      <c r="H44" s="163">
        <f>IF(H43&gt;0,SUM(H34:H43),0)</f>
        <v>0</v>
      </c>
      <c r="I44" s="163">
        <f t="shared" si="9"/>
        <v>1.2</v>
      </c>
      <c r="J44" s="163">
        <f t="shared" si="9"/>
        <v>9.4999999999999982</v>
      </c>
      <c r="K44" s="163">
        <f t="shared" si="9"/>
        <v>5.3999999999999995</v>
      </c>
      <c r="L44" s="163">
        <f t="shared" si="9"/>
        <v>2.3999999999999995</v>
      </c>
      <c r="M44" s="163">
        <f>SUM(M32:M43)</f>
        <v>0</v>
      </c>
      <c r="N44" s="163">
        <f>SUM(N32:N43)</f>
        <v>0</v>
      </c>
      <c r="O44" s="2">
        <f xml:space="preserve"> E44*1+F44*1+G44*2+M44</f>
        <v>26.299999999999997</v>
      </c>
      <c r="P44" s="3">
        <f xml:space="preserve"> (I44*1+J44*1+K44*2+L44*2+N44)</f>
        <v>26.299999999999997</v>
      </c>
      <c r="V44" s="116"/>
      <c r="W44" s="508"/>
      <c r="X44" s="162">
        <f>SUM(X34+X36+X38+X42+X43)</f>
        <v>19.584545454545452</v>
      </c>
      <c r="Y44" s="163">
        <f t="shared" ref="Y44:AE44" si="10">SUM(Y34:Y43)</f>
        <v>1.25</v>
      </c>
      <c r="Z44" s="163">
        <f t="shared" si="10"/>
        <v>2.7327272727272724</v>
      </c>
      <c r="AA44" s="163">
        <f t="shared" si="10"/>
        <v>0</v>
      </c>
      <c r="AB44" s="163">
        <f t="shared" si="10"/>
        <v>1</v>
      </c>
      <c r="AC44" s="163">
        <f t="shared" si="10"/>
        <v>11.74642857142857</v>
      </c>
      <c r="AD44" s="163">
        <f t="shared" si="10"/>
        <v>4.9696428571428566</v>
      </c>
      <c r="AE44" s="163">
        <f t="shared" si="10"/>
        <v>1.8071428571428569</v>
      </c>
      <c r="AF44" s="163">
        <f>SUM(AF32:AF43)</f>
        <v>0</v>
      </c>
      <c r="AG44" s="163">
        <f>SUM(AG32:AG43)</f>
        <v>0</v>
      </c>
      <c r="AH44" s="413">
        <f xml:space="preserve"> X44*1+Y44*1+Z44*2+AF44</f>
        <v>26.299999999999997</v>
      </c>
      <c r="AI44" s="440">
        <f xml:space="preserve"> (AB44*1+AC44*1+AD44*2+AE44*2+AG44)</f>
        <v>26.299999999999997</v>
      </c>
    </row>
    <row r="45" spans="3:40" ht="21.75" thickBot="1" x14ac:dyDescent="0.4">
      <c r="E45" s="511" t="s">
        <v>99</v>
      </c>
      <c r="F45" s="512">
        <f>(E44+I44+E32)/J44</f>
        <v>1.810526315789474</v>
      </c>
      <c r="G45" s="513"/>
      <c r="H45" s="514" t="s">
        <v>101</v>
      </c>
      <c r="I45" s="512">
        <f>(J44+J32)/(K44+K32)</f>
        <v>1.7592592592592591</v>
      </c>
      <c r="J45" s="513"/>
      <c r="K45" s="515" t="s">
        <v>100</v>
      </c>
      <c r="L45" s="512">
        <f>(K44+K32)/(L44+L32)</f>
        <v>2.2500000000000004</v>
      </c>
      <c r="O45" s="413">
        <f xml:space="preserve"> (E44*1)+(F44*1)+(G44*2)+(M44*1) + ((E32+F32+G32*2))</f>
        <v>26.299999999999997</v>
      </c>
      <c r="P45" s="413">
        <f>(I44*1)+(J44*1)+(K44*2)+(L44*2)+((I32*1)+(J32*1)+(K32*2)+(L32*2)+(N32*1))</f>
        <v>26.299999999999997</v>
      </c>
      <c r="V45" s="410"/>
      <c r="X45" s="511" t="s">
        <v>99</v>
      </c>
      <c r="Y45" s="512">
        <f>(X44+AB44+X32)/AC44</f>
        <v>1.7524088559661681</v>
      </c>
      <c r="Z45" s="513"/>
      <c r="AA45" s="514" t="s">
        <v>101</v>
      </c>
      <c r="AB45" s="512">
        <f>(AC44+AC32)/(AD44+AD32)</f>
        <v>2.3636363636363638</v>
      </c>
      <c r="AC45" s="513"/>
      <c r="AD45" s="515" t="s">
        <v>100</v>
      </c>
      <c r="AE45" s="512">
        <f>(AD44+AD32)/(AE44+AE32)</f>
        <v>2.75</v>
      </c>
      <c r="AH45" s="413">
        <f xml:space="preserve"> (X44*1)+(Y44*1)+(Z44*2)+(AF44)+((X32*1)+(Y32*1)+(Z32*2))</f>
        <v>26.299999999999997</v>
      </c>
      <c r="AI45" s="413">
        <f>(AB44*1)+(AC44*1)+(AD44*2)+(AE44*2) + ((AB32*1)+(AC32*1)+(AD32*2)+(AE32*2)+(AG32*1))</f>
        <v>26.299999999999997</v>
      </c>
    </row>
    <row r="47" spans="3:40" ht="15.75" thickBot="1" x14ac:dyDescent="0.3"/>
    <row r="48" spans="3:40" ht="24.75" thickTop="1" x14ac:dyDescent="0.3">
      <c r="V48" s="197"/>
      <c r="W48" s="198" t="s">
        <v>37</v>
      </c>
      <c r="X48" s="198" t="s">
        <v>38</v>
      </c>
      <c r="Y48" s="198" t="s">
        <v>39</v>
      </c>
      <c r="Z48" s="295" t="s">
        <v>71</v>
      </c>
    </row>
    <row r="49" spans="3:26" ht="21" thickBot="1" x14ac:dyDescent="0.35">
      <c r="V49" s="199"/>
      <c r="W49" s="200"/>
      <c r="X49" s="200"/>
      <c r="Y49" s="200"/>
      <c r="Z49" s="296"/>
    </row>
    <row r="50" spans="3:26" ht="21.75" thickTop="1" thickBot="1" x14ac:dyDescent="0.35">
      <c r="C50" s="201" t="s">
        <v>24</v>
      </c>
      <c r="D50" s="202">
        <f>E$19</f>
        <v>25</v>
      </c>
      <c r="E50" s="203">
        <v>430</v>
      </c>
      <c r="F50" s="355">
        <f t="shared" ref="F50:F55" si="11">IF(D50&gt;0,(D50*E50/1000),0)</f>
        <v>10.75</v>
      </c>
      <c r="G50" s="204">
        <f t="shared" ref="G50:G55" si="12">F50*100</f>
        <v>1075</v>
      </c>
      <c r="V50" s="201" t="s">
        <v>24</v>
      </c>
      <c r="W50" s="202">
        <f>X$19</f>
        <v>25</v>
      </c>
      <c r="X50" s="203">
        <v>430</v>
      </c>
      <c r="Y50" s="273">
        <f t="shared" ref="Y50:Y55" si="13">IF(W50&gt;0,(W50*X50/1000),0)</f>
        <v>10.75</v>
      </c>
      <c r="Z50" s="297">
        <f t="shared" ref="Z50:Z55" si="14">Y50*100</f>
        <v>1075</v>
      </c>
    </row>
    <row r="51" spans="3:26" ht="21" thickBot="1" x14ac:dyDescent="0.35">
      <c r="C51" s="205" t="s">
        <v>40</v>
      </c>
      <c r="D51" s="202">
        <f>F$19-F$20</f>
        <v>10</v>
      </c>
      <c r="E51" s="206">
        <v>169</v>
      </c>
      <c r="F51" s="355">
        <f t="shared" si="11"/>
        <v>1.69</v>
      </c>
      <c r="G51" s="204">
        <f t="shared" si="12"/>
        <v>169</v>
      </c>
      <c r="V51" s="205" t="s">
        <v>40</v>
      </c>
      <c r="W51" s="202">
        <f>Y$19-Y$20</f>
        <v>20</v>
      </c>
      <c r="X51" s="206">
        <v>169</v>
      </c>
      <c r="Y51" s="273">
        <f t="shared" si="13"/>
        <v>3.38</v>
      </c>
      <c r="Z51" s="297">
        <f t="shared" si="14"/>
        <v>338</v>
      </c>
    </row>
    <row r="52" spans="3:26" ht="21" thickBot="1" x14ac:dyDescent="0.35">
      <c r="C52" s="205" t="s">
        <v>25</v>
      </c>
      <c r="D52" s="202">
        <f>G$19-G$20</f>
        <v>5</v>
      </c>
      <c r="E52" s="206">
        <v>287.5</v>
      </c>
      <c r="F52" s="355">
        <f t="shared" si="11"/>
        <v>1.4375</v>
      </c>
      <c r="G52" s="204">
        <f t="shared" si="12"/>
        <v>143.75</v>
      </c>
      <c r="V52" s="205" t="s">
        <v>25</v>
      </c>
      <c r="W52" s="202">
        <f>Z$19-Z$20</f>
        <v>5</v>
      </c>
      <c r="X52" s="206">
        <v>287.5</v>
      </c>
      <c r="Y52" s="273">
        <f t="shared" si="13"/>
        <v>1.4375</v>
      </c>
      <c r="Z52" s="297">
        <f t="shared" si="14"/>
        <v>143.75</v>
      </c>
    </row>
    <row r="53" spans="3:26" ht="21" thickBot="1" x14ac:dyDescent="0.35">
      <c r="C53" s="205" t="s">
        <v>41</v>
      </c>
      <c r="D53" s="202">
        <f>H$19-H$20</f>
        <v>25</v>
      </c>
      <c r="E53" s="206">
        <v>381.2</v>
      </c>
      <c r="F53" s="355">
        <f>IF(D53&gt;0,(D53*(E53/4)/1000),0)</f>
        <v>2.3824999999999998</v>
      </c>
      <c r="G53" s="204">
        <f t="shared" si="12"/>
        <v>238.24999999999997</v>
      </c>
      <c r="V53" s="205" t="s">
        <v>41</v>
      </c>
      <c r="W53" s="202">
        <f>AA$19-AA$20</f>
        <v>20</v>
      </c>
      <c r="X53" s="206">
        <v>381.2</v>
      </c>
      <c r="Y53" s="273">
        <f>IF(W53&gt;0,(W53*(X53/4))/1000,0)</f>
        <v>1.9059999999999999</v>
      </c>
      <c r="Z53" s="297">
        <f t="shared" si="14"/>
        <v>190.6</v>
      </c>
    </row>
    <row r="54" spans="3:26" ht="21" thickBot="1" x14ac:dyDescent="0.35">
      <c r="C54" s="205" t="s">
        <v>27</v>
      </c>
      <c r="D54" s="202">
        <f>I$19-I$20</f>
        <v>0.75</v>
      </c>
      <c r="E54" s="206">
        <v>249.7</v>
      </c>
      <c r="F54" s="355">
        <f t="shared" si="11"/>
        <v>0.18727499999999997</v>
      </c>
      <c r="G54" s="204">
        <f t="shared" si="12"/>
        <v>18.727499999999996</v>
      </c>
      <c r="V54" s="205" t="s">
        <v>27</v>
      </c>
      <c r="W54" s="202">
        <f>AB$19-AB$20</f>
        <v>0.75</v>
      </c>
      <c r="X54" s="206">
        <v>249.7</v>
      </c>
      <c r="Y54" s="273">
        <f t="shared" si="13"/>
        <v>0.18727499999999997</v>
      </c>
      <c r="Z54" s="297">
        <f t="shared" si="14"/>
        <v>18.727499999999996</v>
      </c>
    </row>
    <row r="55" spans="3:26" ht="21" thickBot="1" x14ac:dyDescent="0.35">
      <c r="C55" s="207" t="s">
        <v>91</v>
      </c>
      <c r="D55" s="202">
        <f>J$19-J$20</f>
        <v>0.5</v>
      </c>
      <c r="E55" s="208">
        <v>241.9</v>
      </c>
      <c r="F55" s="355">
        <f t="shared" si="11"/>
        <v>0.12095</v>
      </c>
      <c r="G55" s="204">
        <f t="shared" si="12"/>
        <v>12.095000000000001</v>
      </c>
      <c r="V55" s="207" t="s">
        <v>91</v>
      </c>
      <c r="W55" s="298">
        <f>AC$19-AC$20</f>
        <v>0.5</v>
      </c>
      <c r="X55" s="208">
        <v>241.9</v>
      </c>
      <c r="Y55" s="299">
        <f t="shared" si="13"/>
        <v>0.12095</v>
      </c>
      <c r="Z55" s="300">
        <f t="shared" si="14"/>
        <v>12.095000000000001</v>
      </c>
    </row>
    <row r="56" spans="3:26" ht="15.75" thickTop="1" x14ac:dyDescent="0.25"/>
    <row r="57" spans="3:26" ht="20.25" x14ac:dyDescent="0.3">
      <c r="C57" s="378" t="s">
        <v>81</v>
      </c>
    </row>
    <row r="89" spans="3:35" ht="15.75" thickBot="1" x14ac:dyDescent="0.3"/>
    <row r="90" spans="3:35" ht="5.0999999999999996" customHeight="1" thickBot="1" x14ac:dyDescent="0.35">
      <c r="C90" s="116"/>
      <c r="D90" s="453"/>
      <c r="E90" s="4"/>
      <c r="F90" s="5"/>
      <c r="G90" s="6"/>
      <c r="H90" s="5"/>
      <c r="I90" s="5"/>
      <c r="J90" s="5"/>
      <c r="K90" s="7"/>
      <c r="L90" s="8"/>
      <c r="M90" s="9"/>
      <c r="N90" s="9"/>
      <c r="O90" s="308"/>
      <c r="P90" s="309"/>
      <c r="V90" s="116"/>
      <c r="W90" s="483"/>
      <c r="X90" s="4"/>
      <c r="Y90" s="5"/>
      <c r="Z90" s="6"/>
      <c r="AA90" s="5"/>
      <c r="AB90" s="5"/>
      <c r="AC90" s="5"/>
      <c r="AD90" s="7"/>
      <c r="AE90" s="8"/>
      <c r="AF90" s="9"/>
      <c r="AG90" s="484"/>
      <c r="AH90" s="328"/>
      <c r="AI90" s="327"/>
    </row>
  </sheetData>
  <sheetProtection algorithmName="SHA-512" hashValue="iwrnvpkMfPBtQyJ9zfcE8I78Cz+2GETgwd3KY+B1qqCLK25ZCcRjbnw8fKGIEGElAfJEIcOPzDUKJVX/lgw7RA==" saltValue="RTw98aO7aDhj7eo1X3nlm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81"/>
  <sheetViews>
    <sheetView topLeftCell="D1" zoomScale="77" zoomScaleNormal="77" workbookViewId="0">
      <selection activeCell="O58" sqref="O58"/>
    </sheetView>
  </sheetViews>
  <sheetFormatPr defaultRowHeight="15" x14ac:dyDescent="0.25"/>
  <cols>
    <col min="2" max="2" width="13.140625" customWidth="1"/>
    <col min="3" max="3" width="27.28515625" customWidth="1"/>
    <col min="4" max="4" width="8.85546875" customWidth="1"/>
    <col min="5" max="5" width="11.7109375" customWidth="1"/>
    <col min="10" max="10" width="12.42578125" customWidth="1"/>
    <col min="13" max="13" width="11" customWidth="1"/>
    <col min="17" max="17" width="8.28515625" customWidth="1"/>
    <col min="18" max="18" width="8.85546875" customWidth="1"/>
    <col min="19" max="19" width="8" customWidth="1"/>
    <col min="21" max="21" width="10" customWidth="1"/>
    <col min="33" max="33" width="5" customWidth="1"/>
    <col min="34" max="34" width="8.42578125" customWidth="1"/>
    <col min="35" max="35" width="8" customWidth="1"/>
    <col min="36" max="36" width="10.28515625" customWidth="1"/>
  </cols>
  <sheetData>
    <row r="1" spans="1:35" ht="21" x14ac:dyDescent="0.35">
      <c r="C1" s="216"/>
      <c r="T1" s="216"/>
    </row>
    <row r="3" spans="1:35" ht="25.5" customHeight="1" x14ac:dyDescent="0.35">
      <c r="C3" s="391"/>
      <c r="T3" s="216"/>
    </row>
    <row r="4" spans="1:35" ht="21.75" thickBot="1" x14ac:dyDescent="0.4">
      <c r="A4" s="216"/>
      <c r="C4" s="116"/>
    </row>
    <row r="5" spans="1:35" ht="21.75" thickBot="1" x14ac:dyDescent="0.4">
      <c r="C5" s="116"/>
      <c r="D5" s="392">
        <v>16</v>
      </c>
      <c r="E5" s="218">
        <v>1.25</v>
      </c>
      <c r="F5" s="218">
        <v>1.375</v>
      </c>
      <c r="G5" s="218">
        <v>1.25</v>
      </c>
      <c r="H5" s="249">
        <v>6.55</v>
      </c>
      <c r="I5" s="249">
        <v>4.43</v>
      </c>
      <c r="J5" s="249">
        <v>1.67</v>
      </c>
      <c r="K5" s="219">
        <v>25</v>
      </c>
      <c r="L5" s="220">
        <v>10</v>
      </c>
      <c r="M5" s="221">
        <v>5</v>
      </c>
      <c r="N5" s="221">
        <v>25</v>
      </c>
      <c r="O5" s="221">
        <v>0.75</v>
      </c>
      <c r="P5" s="221">
        <v>0.5</v>
      </c>
      <c r="Q5" s="334">
        <f>($D5+$E5+($F5*2))/10</f>
        <v>2</v>
      </c>
      <c r="R5" s="335">
        <f>($G5+$H5+($I5*2)+($J5*2))/10</f>
        <v>2</v>
      </c>
      <c r="T5" s="229">
        <v>11.75</v>
      </c>
      <c r="U5" s="222">
        <v>1.25</v>
      </c>
      <c r="V5" s="222">
        <v>1</v>
      </c>
      <c r="W5" s="222">
        <v>1</v>
      </c>
      <c r="X5" s="231">
        <v>5.3</v>
      </c>
      <c r="Y5" s="231">
        <v>3.05</v>
      </c>
      <c r="Z5" s="231">
        <v>1.3</v>
      </c>
      <c r="AA5" s="219">
        <v>25</v>
      </c>
      <c r="AB5" s="220">
        <v>20</v>
      </c>
      <c r="AC5" s="221">
        <v>5</v>
      </c>
      <c r="AD5" s="221">
        <v>25</v>
      </c>
      <c r="AE5" s="221">
        <v>0.75</v>
      </c>
      <c r="AF5" s="230">
        <v>0.5</v>
      </c>
      <c r="AH5" s="334">
        <f t="shared" ref="AH5" si="0">(T5+U5+(V5*2))/10</f>
        <v>1.5</v>
      </c>
      <c r="AI5" s="340">
        <f t="shared" ref="AI5" si="1">(W5+X5+(Y5*2)+(Z5*2))/10</f>
        <v>1.4999999999999998</v>
      </c>
    </row>
    <row r="6" spans="1:35" ht="21" customHeight="1" thickBot="1" x14ac:dyDescent="0.4">
      <c r="C6" s="116"/>
      <c r="D6" s="392">
        <v>16</v>
      </c>
      <c r="E6" s="218">
        <v>1.25</v>
      </c>
      <c r="F6" s="218">
        <v>1.375</v>
      </c>
      <c r="G6" s="218">
        <v>1.25</v>
      </c>
      <c r="H6" s="218">
        <v>8</v>
      </c>
      <c r="I6" s="218">
        <v>4</v>
      </c>
      <c r="J6" s="218">
        <v>1.375</v>
      </c>
      <c r="K6" s="219">
        <v>25</v>
      </c>
      <c r="L6" s="220">
        <v>10</v>
      </c>
      <c r="M6" s="221">
        <v>5</v>
      </c>
      <c r="N6" s="221">
        <v>25</v>
      </c>
      <c r="O6" s="221">
        <v>0.75</v>
      </c>
      <c r="P6" s="221">
        <v>0.5</v>
      </c>
      <c r="Q6" s="336">
        <f t="shared" ref="Q6:Q8" si="2">($D6+$E6+($F6*2))/10</f>
        <v>2</v>
      </c>
      <c r="R6" s="335">
        <f t="shared" ref="R6:R8" si="3">($G6+$H6+($I6*2)+($J6*2))/10</f>
        <v>2</v>
      </c>
      <c r="S6" s="216"/>
      <c r="T6" s="229">
        <v>11.75</v>
      </c>
      <c r="U6" s="222">
        <v>1.25</v>
      </c>
      <c r="V6" s="222">
        <v>1</v>
      </c>
      <c r="W6" s="222">
        <v>1</v>
      </c>
      <c r="X6" s="222">
        <v>6.5</v>
      </c>
      <c r="Y6" s="222">
        <v>2.75</v>
      </c>
      <c r="Z6" s="222">
        <v>1</v>
      </c>
      <c r="AA6" s="219">
        <v>25</v>
      </c>
      <c r="AB6" s="220">
        <v>20</v>
      </c>
      <c r="AC6" s="221">
        <v>5</v>
      </c>
      <c r="AD6" s="221">
        <v>25</v>
      </c>
      <c r="AE6" s="221">
        <v>0.75</v>
      </c>
      <c r="AF6" s="230">
        <v>0.5</v>
      </c>
      <c r="AH6" s="334">
        <f>(T6+U6+(V6*2))/10</f>
        <v>1.5</v>
      </c>
      <c r="AI6" s="340">
        <f>(W6+X6+(Y6*2)+(Z6*2))/10</f>
        <v>1.5</v>
      </c>
    </row>
    <row r="7" spans="1:35" ht="21" customHeight="1" thickBot="1" x14ac:dyDescent="0.4">
      <c r="C7" s="116"/>
      <c r="D7" s="392">
        <v>16</v>
      </c>
      <c r="E7" s="218">
        <v>1.25</v>
      </c>
      <c r="F7" s="218">
        <v>1.375</v>
      </c>
      <c r="G7" s="218">
        <v>1.25</v>
      </c>
      <c r="H7" s="249">
        <v>11.05</v>
      </c>
      <c r="I7" s="249">
        <v>2.65</v>
      </c>
      <c r="J7" s="249">
        <v>1.2</v>
      </c>
      <c r="K7" s="219">
        <v>25</v>
      </c>
      <c r="L7" s="220">
        <v>10</v>
      </c>
      <c r="M7" s="221">
        <v>5</v>
      </c>
      <c r="N7" s="221">
        <v>25</v>
      </c>
      <c r="O7" s="221">
        <v>0.75</v>
      </c>
      <c r="P7" s="221">
        <v>0.5</v>
      </c>
      <c r="Q7" s="336">
        <f t="shared" si="2"/>
        <v>2</v>
      </c>
      <c r="R7" s="335">
        <f t="shared" si="3"/>
        <v>2</v>
      </c>
      <c r="T7" s="229">
        <v>11.75</v>
      </c>
      <c r="U7" s="222">
        <v>1.25</v>
      </c>
      <c r="V7" s="222">
        <v>1</v>
      </c>
      <c r="W7" s="222">
        <v>1</v>
      </c>
      <c r="X7" s="231">
        <v>9</v>
      </c>
      <c r="Y7" s="231">
        <v>1.75</v>
      </c>
      <c r="Z7" s="231">
        <v>0.75</v>
      </c>
      <c r="AA7" s="219">
        <v>25</v>
      </c>
      <c r="AB7" s="220">
        <v>20</v>
      </c>
      <c r="AC7" s="221">
        <v>5</v>
      </c>
      <c r="AD7" s="221">
        <v>25</v>
      </c>
      <c r="AE7" s="221">
        <v>0.75</v>
      </c>
      <c r="AF7" s="230">
        <v>0.5</v>
      </c>
      <c r="AH7" s="334">
        <f t="shared" ref="AH7:AH8" si="4">(T7+U7+(V7*2))/10</f>
        <v>1.5</v>
      </c>
      <c r="AI7" s="340">
        <f t="shared" ref="AI7:AI8" si="5">(W7+X7+(Y7*2)+(Z7*2))/10</f>
        <v>1.5</v>
      </c>
    </row>
    <row r="8" spans="1:35" ht="21" customHeight="1" thickBot="1" x14ac:dyDescent="0.4">
      <c r="C8" s="116"/>
      <c r="D8" s="392">
        <v>16</v>
      </c>
      <c r="E8" s="218">
        <v>1.25</v>
      </c>
      <c r="F8" s="218">
        <v>1.375</v>
      </c>
      <c r="G8" s="218">
        <v>1.25</v>
      </c>
      <c r="H8" s="249">
        <v>9.25</v>
      </c>
      <c r="I8" s="249">
        <v>3.6</v>
      </c>
      <c r="J8" s="249">
        <v>1.1499999999999999</v>
      </c>
      <c r="K8" s="219">
        <v>25</v>
      </c>
      <c r="L8" s="220">
        <v>10</v>
      </c>
      <c r="M8" s="221">
        <v>5</v>
      </c>
      <c r="N8" s="221">
        <v>25</v>
      </c>
      <c r="O8" s="221">
        <v>0.75</v>
      </c>
      <c r="P8" s="221">
        <v>0.5</v>
      </c>
      <c r="Q8" s="336">
        <f t="shared" si="2"/>
        <v>2</v>
      </c>
      <c r="R8" s="335">
        <f t="shared" si="3"/>
        <v>2</v>
      </c>
      <c r="T8" s="229">
        <v>11.75</v>
      </c>
      <c r="U8" s="222">
        <v>1.25</v>
      </c>
      <c r="V8" s="222">
        <v>1</v>
      </c>
      <c r="W8" s="222">
        <v>1</v>
      </c>
      <c r="X8" s="223">
        <v>7.5</v>
      </c>
      <c r="Y8" s="223">
        <v>2.5</v>
      </c>
      <c r="Z8" s="223">
        <v>0.75</v>
      </c>
      <c r="AA8" s="219">
        <v>25</v>
      </c>
      <c r="AB8" s="220">
        <v>20</v>
      </c>
      <c r="AC8" s="221">
        <v>5</v>
      </c>
      <c r="AD8" s="221">
        <v>25</v>
      </c>
      <c r="AE8" s="221">
        <v>0.75</v>
      </c>
      <c r="AF8" s="230">
        <v>0.5</v>
      </c>
      <c r="AH8" s="334">
        <f t="shared" si="4"/>
        <v>1.5</v>
      </c>
      <c r="AI8" s="335">
        <f t="shared" si="5"/>
        <v>1.5</v>
      </c>
    </row>
    <row r="9" spans="1:35" x14ac:dyDescent="0.25">
      <c r="C9" s="116"/>
      <c r="D9" s="393"/>
      <c r="Q9" s="337"/>
      <c r="R9" s="337"/>
      <c r="AH9" s="337"/>
      <c r="AI9" s="337"/>
    </row>
    <row r="10" spans="1:35" ht="21.75" thickBot="1" x14ac:dyDescent="0.4">
      <c r="A10" s="216"/>
      <c r="C10" s="116"/>
      <c r="D10" s="393"/>
      <c r="Q10" s="337"/>
      <c r="R10" s="337"/>
      <c r="AH10" s="337"/>
      <c r="AI10" s="337"/>
    </row>
    <row r="11" spans="1:35" ht="21.75" thickBot="1" x14ac:dyDescent="0.4">
      <c r="C11" s="116"/>
      <c r="D11" s="394">
        <v>16</v>
      </c>
      <c r="E11" s="385">
        <v>1.5</v>
      </c>
      <c r="F11" s="213">
        <v>4.4000000000000004</v>
      </c>
      <c r="G11" s="213">
        <v>1.2</v>
      </c>
      <c r="H11" s="224">
        <v>7.5</v>
      </c>
      <c r="I11" s="224">
        <v>6</v>
      </c>
      <c r="J11" s="224">
        <v>2.8</v>
      </c>
      <c r="K11" s="219">
        <v>25</v>
      </c>
      <c r="L11" s="228">
        <v>10</v>
      </c>
      <c r="M11" s="221">
        <v>5</v>
      </c>
      <c r="N11" s="221">
        <v>25</v>
      </c>
      <c r="O11" s="221">
        <v>0.75</v>
      </c>
      <c r="P11" s="221">
        <v>0.5</v>
      </c>
      <c r="Q11" s="334">
        <f>($D11+$E11+($F11*2))/10</f>
        <v>2.63</v>
      </c>
      <c r="R11" s="335">
        <f>($G11+$H11+($I11*2)+($J11*2))/10</f>
        <v>2.63</v>
      </c>
      <c r="T11" s="237">
        <v>10.75</v>
      </c>
      <c r="U11" s="231">
        <v>1.25</v>
      </c>
      <c r="V11" s="231">
        <v>1.5</v>
      </c>
      <c r="W11" s="231">
        <v>1</v>
      </c>
      <c r="X11" s="231">
        <v>5.3</v>
      </c>
      <c r="Y11" s="231">
        <v>3.05</v>
      </c>
      <c r="Z11" s="231">
        <v>1.3</v>
      </c>
      <c r="AA11" s="219">
        <v>25</v>
      </c>
      <c r="AB11" s="220">
        <v>20</v>
      </c>
      <c r="AC11" s="235">
        <v>4</v>
      </c>
      <c r="AD11" s="235">
        <v>20</v>
      </c>
      <c r="AE11" s="235">
        <v>0.75</v>
      </c>
      <c r="AF11" s="236">
        <v>0.5</v>
      </c>
      <c r="AH11" s="334">
        <f t="shared" ref="AH11" si="6">(T11+U11+(V11*2))/10</f>
        <v>1.5</v>
      </c>
      <c r="AI11" s="340">
        <f t="shared" ref="AI11" si="7">(W11+X11+(Y11*2)+(Z11*2))/10</f>
        <v>1.4999999999999998</v>
      </c>
    </row>
    <row r="12" spans="1:35" ht="21.75" thickBot="1" x14ac:dyDescent="0.4">
      <c r="C12" s="116"/>
      <c r="D12" s="394">
        <v>16</v>
      </c>
      <c r="E12" s="385">
        <v>1.5</v>
      </c>
      <c r="F12" s="213">
        <v>4.4000000000000004</v>
      </c>
      <c r="G12" s="213">
        <v>1.2</v>
      </c>
      <c r="H12" s="213">
        <v>9.5</v>
      </c>
      <c r="I12" s="213">
        <v>5.4</v>
      </c>
      <c r="J12" s="213">
        <v>2.4</v>
      </c>
      <c r="K12" s="219">
        <v>25</v>
      </c>
      <c r="L12" s="225">
        <v>10</v>
      </c>
      <c r="M12" s="213">
        <v>5</v>
      </c>
      <c r="N12" s="213">
        <v>30</v>
      </c>
      <c r="O12" s="213">
        <v>0.75</v>
      </c>
      <c r="P12" s="213">
        <v>0.5</v>
      </c>
      <c r="Q12" s="336">
        <f t="shared" ref="Q12:Q14" si="8">($D12+$E12+($F12*2))/10</f>
        <v>2.63</v>
      </c>
      <c r="R12" s="335">
        <f t="shared" ref="R12:R14" si="9">($G12+$H12+($I12*2)+($J12*2))/10</f>
        <v>2.63</v>
      </c>
      <c r="S12" s="216"/>
      <c r="T12" s="234">
        <v>10.75</v>
      </c>
      <c r="U12" s="235">
        <v>1.25</v>
      </c>
      <c r="V12" s="235">
        <v>1.5</v>
      </c>
      <c r="W12" s="235">
        <v>1</v>
      </c>
      <c r="X12" s="235">
        <v>6.5</v>
      </c>
      <c r="Y12" s="235">
        <v>2.75</v>
      </c>
      <c r="Z12" s="235">
        <v>1</v>
      </c>
      <c r="AA12" s="219">
        <v>25</v>
      </c>
      <c r="AB12" s="220">
        <v>20</v>
      </c>
      <c r="AC12" s="235">
        <v>4</v>
      </c>
      <c r="AD12" s="235">
        <v>20</v>
      </c>
      <c r="AE12" s="235">
        <v>0.75</v>
      </c>
      <c r="AF12" s="236">
        <v>0.5</v>
      </c>
      <c r="AH12" s="334">
        <f>(T12+U12+(V12*2))/10</f>
        <v>1.5</v>
      </c>
      <c r="AI12" s="340">
        <f>(W12+X12+(Y12*2)+(Z12*2))/10</f>
        <v>1.5</v>
      </c>
    </row>
    <row r="13" spans="1:35" ht="21.75" thickBot="1" x14ac:dyDescent="0.4">
      <c r="C13" s="116"/>
      <c r="D13" s="394">
        <v>16</v>
      </c>
      <c r="E13" s="385">
        <v>1.5</v>
      </c>
      <c r="F13" s="213">
        <v>4.4000000000000004</v>
      </c>
      <c r="G13" s="213">
        <v>1.2</v>
      </c>
      <c r="H13" s="215">
        <v>14</v>
      </c>
      <c r="I13" s="215">
        <v>4.05</v>
      </c>
      <c r="J13" s="215">
        <v>1.5</v>
      </c>
      <c r="K13" s="219">
        <v>25</v>
      </c>
      <c r="L13" s="228">
        <v>10</v>
      </c>
      <c r="M13" s="221">
        <v>5</v>
      </c>
      <c r="N13" s="221">
        <v>25</v>
      </c>
      <c r="O13" s="221">
        <v>0.75</v>
      </c>
      <c r="P13" s="221">
        <v>0.5</v>
      </c>
      <c r="Q13" s="336">
        <f t="shared" si="8"/>
        <v>2.63</v>
      </c>
      <c r="R13" s="335">
        <f t="shared" si="9"/>
        <v>2.63</v>
      </c>
      <c r="T13" s="234">
        <v>10.75</v>
      </c>
      <c r="U13" s="235">
        <v>1.25</v>
      </c>
      <c r="V13" s="235">
        <v>1.5</v>
      </c>
      <c r="W13" s="235">
        <v>1</v>
      </c>
      <c r="X13" s="231">
        <v>10</v>
      </c>
      <c r="Y13" s="231">
        <v>1.5</v>
      </c>
      <c r="Z13" s="231">
        <v>0.5</v>
      </c>
      <c r="AA13" s="219">
        <v>25</v>
      </c>
      <c r="AB13" s="220">
        <v>20</v>
      </c>
      <c r="AC13" s="235">
        <v>4</v>
      </c>
      <c r="AD13" s="235">
        <v>20</v>
      </c>
      <c r="AE13" s="235">
        <v>0.75</v>
      </c>
      <c r="AF13" s="236">
        <v>0.5</v>
      </c>
      <c r="AH13" s="334">
        <f t="shared" ref="AH13:AH14" si="10">(T13+U13+(V13*2))/10</f>
        <v>1.5</v>
      </c>
      <c r="AI13" s="340">
        <f t="shared" ref="AI13:AI14" si="11">(W13+X13+(Y13*2)+(Z13*2))/10</f>
        <v>1.5</v>
      </c>
    </row>
    <row r="14" spans="1:35" ht="21.75" thickBot="1" x14ac:dyDescent="0.4">
      <c r="C14" s="116"/>
      <c r="D14" s="394">
        <v>16</v>
      </c>
      <c r="E14" s="385">
        <v>1.5</v>
      </c>
      <c r="F14" s="213">
        <v>4.4000000000000004</v>
      </c>
      <c r="G14" s="213">
        <v>1.2</v>
      </c>
      <c r="H14" s="215">
        <v>10.5</v>
      </c>
      <c r="I14" s="215">
        <v>5.0999999999999996</v>
      </c>
      <c r="J14" s="215">
        <v>2.2000000000000002</v>
      </c>
      <c r="K14" s="219">
        <v>25</v>
      </c>
      <c r="L14" s="228">
        <v>10</v>
      </c>
      <c r="M14" s="221">
        <v>5</v>
      </c>
      <c r="N14" s="221">
        <v>25</v>
      </c>
      <c r="O14" s="221">
        <v>0.75</v>
      </c>
      <c r="P14" s="221">
        <v>0.5</v>
      </c>
      <c r="Q14" s="336">
        <f t="shared" si="8"/>
        <v>2.63</v>
      </c>
      <c r="R14" s="335">
        <f t="shared" si="9"/>
        <v>2.63</v>
      </c>
      <c r="T14" s="234">
        <v>10.75</v>
      </c>
      <c r="U14" s="235">
        <v>1.25</v>
      </c>
      <c r="V14" s="235">
        <v>1.5</v>
      </c>
      <c r="W14" s="235">
        <v>1</v>
      </c>
      <c r="X14" s="223">
        <v>7.5</v>
      </c>
      <c r="Y14" s="223">
        <v>2.5</v>
      </c>
      <c r="Z14" s="223">
        <v>0.75</v>
      </c>
      <c r="AA14" s="219">
        <v>25</v>
      </c>
      <c r="AB14" s="220">
        <v>20</v>
      </c>
      <c r="AC14" s="235">
        <v>4</v>
      </c>
      <c r="AD14" s="235">
        <v>20</v>
      </c>
      <c r="AE14" s="235">
        <v>0.75</v>
      </c>
      <c r="AF14" s="236">
        <v>0.5</v>
      </c>
      <c r="AH14" s="334">
        <f t="shared" si="10"/>
        <v>1.5</v>
      </c>
      <c r="AI14" s="335">
        <f t="shared" si="11"/>
        <v>1.5</v>
      </c>
    </row>
    <row r="15" spans="1:35" x14ac:dyDescent="0.25">
      <c r="C15" s="116"/>
      <c r="D15" s="393"/>
      <c r="Q15" s="337"/>
      <c r="R15" s="337"/>
      <c r="AH15" s="337"/>
      <c r="AI15" s="337"/>
    </row>
    <row r="16" spans="1:35" ht="22.5" customHeight="1" thickBot="1" x14ac:dyDescent="0.4">
      <c r="A16" s="216"/>
      <c r="C16" s="116"/>
      <c r="D16" s="393"/>
      <c r="Q16" s="337"/>
      <c r="R16" s="337"/>
      <c r="AH16" s="337"/>
      <c r="AI16" s="337"/>
    </row>
    <row r="17" spans="1:35" ht="21.75" thickBot="1" x14ac:dyDescent="0.4">
      <c r="C17" s="116"/>
      <c r="D17" s="394">
        <v>15.55</v>
      </c>
      <c r="E17" s="385">
        <v>1.25</v>
      </c>
      <c r="F17" s="213">
        <v>1.5</v>
      </c>
      <c r="G17" s="213">
        <v>1.5</v>
      </c>
      <c r="H17" s="224">
        <v>5.5</v>
      </c>
      <c r="I17" s="224">
        <v>3.6</v>
      </c>
      <c r="J17" s="224">
        <v>2.8</v>
      </c>
      <c r="K17" s="219">
        <v>25</v>
      </c>
      <c r="L17" s="214">
        <v>10</v>
      </c>
      <c r="M17" s="215">
        <v>5</v>
      </c>
      <c r="N17" s="215">
        <v>35</v>
      </c>
      <c r="O17" s="215">
        <v>0.75</v>
      </c>
      <c r="P17" s="215">
        <v>0.5</v>
      </c>
      <c r="Q17" s="334">
        <f>($D17+$E17+($F17*2))/10</f>
        <v>1.98</v>
      </c>
      <c r="R17" s="335">
        <f>($G17+$H17+($I17*2)+($J17*2))/10</f>
        <v>1.9799999999999998</v>
      </c>
      <c r="T17" s="234">
        <v>11.75</v>
      </c>
      <c r="U17" s="235">
        <v>1</v>
      </c>
      <c r="V17" s="235">
        <v>1.125</v>
      </c>
      <c r="W17" s="235">
        <v>1</v>
      </c>
      <c r="X17" s="231">
        <v>5.3</v>
      </c>
      <c r="Y17" s="235">
        <v>2.75</v>
      </c>
      <c r="Z17" s="235">
        <v>1.6</v>
      </c>
      <c r="AA17" s="219">
        <v>25</v>
      </c>
      <c r="AB17" s="220">
        <v>20</v>
      </c>
      <c r="AC17" s="235">
        <v>5</v>
      </c>
      <c r="AD17" s="235">
        <v>25</v>
      </c>
      <c r="AE17" s="235">
        <v>0.75</v>
      </c>
      <c r="AF17" s="238">
        <v>0.5</v>
      </c>
      <c r="AH17" s="334">
        <f t="shared" ref="AH17" si="12">(T17+U17+(V17*2))/10</f>
        <v>1.5</v>
      </c>
      <c r="AI17" s="340">
        <f t="shared" ref="AI17" si="13">(W17+X17+(Y17*2)+(Z17*2))/10</f>
        <v>1.5</v>
      </c>
    </row>
    <row r="18" spans="1:35" ht="21.75" thickBot="1" x14ac:dyDescent="0.4">
      <c r="C18" s="116"/>
      <c r="D18" s="394">
        <v>15.55</v>
      </c>
      <c r="E18" s="385">
        <v>1.25</v>
      </c>
      <c r="F18" s="213">
        <v>1.5</v>
      </c>
      <c r="G18" s="213">
        <v>1.5</v>
      </c>
      <c r="H18" s="213">
        <v>6.8</v>
      </c>
      <c r="I18" s="213">
        <v>3.25</v>
      </c>
      <c r="J18" s="213">
        <v>2.5</v>
      </c>
      <c r="K18" s="219">
        <v>25</v>
      </c>
      <c r="L18" s="214">
        <v>10</v>
      </c>
      <c r="M18" s="213">
        <v>5</v>
      </c>
      <c r="N18" s="213">
        <v>35</v>
      </c>
      <c r="O18" s="213">
        <v>0.75</v>
      </c>
      <c r="P18" s="213">
        <v>0.5</v>
      </c>
      <c r="Q18" s="336">
        <f t="shared" ref="Q18:Q20" si="14">($D18+$E18+($F18*2))/10</f>
        <v>1.98</v>
      </c>
      <c r="R18" s="335">
        <f t="shared" ref="R18:R20" si="15">($G18+$H18+($I18*2)+($J18*2))/10</f>
        <v>1.98</v>
      </c>
      <c r="S18" s="216"/>
      <c r="T18" s="234">
        <v>11.75</v>
      </c>
      <c r="U18" s="235">
        <v>1</v>
      </c>
      <c r="V18" s="235">
        <v>1.125</v>
      </c>
      <c r="W18" s="235">
        <v>1</v>
      </c>
      <c r="X18" s="235">
        <v>6.5</v>
      </c>
      <c r="Y18" s="235">
        <v>2.25</v>
      </c>
      <c r="Z18" s="235">
        <v>1.5</v>
      </c>
      <c r="AA18" s="219">
        <v>25</v>
      </c>
      <c r="AB18" s="220">
        <v>20</v>
      </c>
      <c r="AC18" s="235">
        <v>5</v>
      </c>
      <c r="AD18" s="235">
        <v>25</v>
      </c>
      <c r="AE18" s="235">
        <v>0.75</v>
      </c>
      <c r="AF18" s="238">
        <v>0.5</v>
      </c>
      <c r="AH18" s="334">
        <f>(T18+U18+(V18*2))/10</f>
        <v>1.5</v>
      </c>
      <c r="AI18" s="340">
        <f>(W18+X18+(Y18*2)+(Z18*2))/10</f>
        <v>1.5</v>
      </c>
    </row>
    <row r="19" spans="1:35" ht="21.75" thickBot="1" x14ac:dyDescent="0.4">
      <c r="C19" s="116"/>
      <c r="D19" s="394">
        <v>15.55</v>
      </c>
      <c r="E19" s="385">
        <v>1.25</v>
      </c>
      <c r="F19" s="213">
        <v>1.5</v>
      </c>
      <c r="G19" s="213">
        <v>1.5</v>
      </c>
      <c r="H19" s="224">
        <v>10.3</v>
      </c>
      <c r="I19" s="224">
        <v>2</v>
      </c>
      <c r="J19" s="224">
        <v>2</v>
      </c>
      <c r="K19" s="219">
        <v>25</v>
      </c>
      <c r="L19" s="214">
        <v>10</v>
      </c>
      <c r="M19" s="215">
        <v>5</v>
      </c>
      <c r="N19" s="215">
        <v>35</v>
      </c>
      <c r="O19" s="215">
        <v>0.75</v>
      </c>
      <c r="P19" s="215">
        <v>0.5</v>
      </c>
      <c r="Q19" s="336">
        <f t="shared" si="14"/>
        <v>1.98</v>
      </c>
      <c r="R19" s="335">
        <f t="shared" si="15"/>
        <v>1.98</v>
      </c>
      <c r="T19" s="234">
        <v>11.75</v>
      </c>
      <c r="U19" s="235">
        <v>1</v>
      </c>
      <c r="V19" s="235">
        <v>1.125</v>
      </c>
      <c r="W19" s="235">
        <v>1</v>
      </c>
      <c r="X19" s="231">
        <v>9</v>
      </c>
      <c r="Y19" s="235">
        <v>1.75</v>
      </c>
      <c r="Z19" s="235">
        <v>0.75</v>
      </c>
      <c r="AA19" s="219">
        <v>25</v>
      </c>
      <c r="AB19" s="220">
        <v>20</v>
      </c>
      <c r="AC19" s="235">
        <v>5</v>
      </c>
      <c r="AD19" s="235">
        <v>25</v>
      </c>
      <c r="AE19" s="235">
        <v>0.75</v>
      </c>
      <c r="AF19" s="238">
        <v>0.5</v>
      </c>
      <c r="AH19" s="334">
        <f t="shared" ref="AH19:AH20" si="16">(T19+U19+(V19*2))/10</f>
        <v>1.5</v>
      </c>
      <c r="AI19" s="340">
        <f t="shared" ref="AI19:AI20" si="17">(W19+X19+(Y19*2)+(Z19*2))/10</f>
        <v>1.5</v>
      </c>
    </row>
    <row r="20" spans="1:35" ht="21.75" thickBot="1" x14ac:dyDescent="0.4">
      <c r="C20" s="116"/>
      <c r="D20" s="394">
        <v>15.55</v>
      </c>
      <c r="E20" s="385">
        <v>1.25</v>
      </c>
      <c r="F20" s="213">
        <v>1.5</v>
      </c>
      <c r="G20" s="213">
        <v>1.5</v>
      </c>
      <c r="H20" s="224">
        <v>7.8</v>
      </c>
      <c r="I20" s="224">
        <v>3</v>
      </c>
      <c r="J20" s="224">
        <v>2.25</v>
      </c>
      <c r="K20" s="219">
        <v>25</v>
      </c>
      <c r="L20" s="214">
        <v>10</v>
      </c>
      <c r="M20" s="215">
        <v>5</v>
      </c>
      <c r="N20" s="215">
        <v>35</v>
      </c>
      <c r="O20" s="215">
        <v>0.75</v>
      </c>
      <c r="P20" s="215">
        <v>0.5</v>
      </c>
      <c r="Q20" s="336">
        <f t="shared" si="14"/>
        <v>1.98</v>
      </c>
      <c r="R20" s="335">
        <f t="shared" si="15"/>
        <v>1.98</v>
      </c>
      <c r="T20" s="234">
        <v>11.75</v>
      </c>
      <c r="U20" s="235">
        <v>1</v>
      </c>
      <c r="V20" s="235">
        <v>1.125</v>
      </c>
      <c r="W20" s="235">
        <v>1</v>
      </c>
      <c r="X20" s="223">
        <v>7.5</v>
      </c>
      <c r="Y20" s="223">
        <v>2</v>
      </c>
      <c r="Z20" s="223">
        <v>1.25</v>
      </c>
      <c r="AA20" s="219">
        <v>25</v>
      </c>
      <c r="AB20" s="220">
        <v>20</v>
      </c>
      <c r="AC20" s="235">
        <v>5</v>
      </c>
      <c r="AD20" s="235">
        <v>25</v>
      </c>
      <c r="AE20" s="235">
        <v>0.75</v>
      </c>
      <c r="AF20" s="238">
        <v>0.5</v>
      </c>
      <c r="AH20" s="334">
        <f t="shared" si="16"/>
        <v>1.5</v>
      </c>
      <c r="AI20" s="340">
        <f t="shared" si="17"/>
        <v>1.5</v>
      </c>
    </row>
    <row r="21" spans="1:35" x14ac:dyDescent="0.25">
      <c r="C21" s="116"/>
      <c r="D21" s="393"/>
      <c r="Q21" s="337"/>
      <c r="R21" s="337"/>
      <c r="AH21" s="337"/>
      <c r="AI21" s="337"/>
    </row>
    <row r="22" spans="1:35" ht="22.5" customHeight="1" thickBot="1" x14ac:dyDescent="0.4">
      <c r="A22" s="216"/>
      <c r="C22" s="116"/>
      <c r="D22" s="393"/>
      <c r="Q22" s="337"/>
      <c r="R22" s="337"/>
      <c r="AH22" s="337"/>
      <c r="AI22" s="337"/>
    </row>
    <row r="23" spans="1:35" ht="21.75" thickBot="1" x14ac:dyDescent="0.4">
      <c r="C23" s="116"/>
      <c r="D23" s="394">
        <v>15.5</v>
      </c>
      <c r="E23" s="385">
        <v>1.25</v>
      </c>
      <c r="F23" s="213">
        <v>1.75</v>
      </c>
      <c r="G23" s="213">
        <v>0.75</v>
      </c>
      <c r="H23" s="231">
        <v>5.3</v>
      </c>
      <c r="I23" s="224">
        <v>5.5</v>
      </c>
      <c r="J23" s="224">
        <v>1.6</v>
      </c>
      <c r="K23" s="219">
        <v>25</v>
      </c>
      <c r="L23" s="214">
        <v>10</v>
      </c>
      <c r="M23" s="215">
        <v>5</v>
      </c>
      <c r="N23" s="215">
        <v>35</v>
      </c>
      <c r="O23" s="215">
        <v>0.75</v>
      </c>
      <c r="P23" s="215">
        <v>0.5</v>
      </c>
      <c r="Q23" s="334">
        <f>($D23+$E23+($F23*2))/10</f>
        <v>2.0249999999999999</v>
      </c>
      <c r="R23" s="335">
        <f>($G23+$H23+($I23*2)+($J23*2))/10</f>
        <v>2.0249999999999999</v>
      </c>
      <c r="T23" s="234">
        <v>12.75</v>
      </c>
      <c r="U23" s="235">
        <v>1</v>
      </c>
      <c r="V23" s="235">
        <v>1</v>
      </c>
      <c r="W23" s="235">
        <v>0.75</v>
      </c>
      <c r="X23" s="223">
        <v>4.5</v>
      </c>
      <c r="Y23" s="223">
        <v>4</v>
      </c>
      <c r="Z23" s="223">
        <v>1.25</v>
      </c>
      <c r="AA23" s="219">
        <v>25</v>
      </c>
      <c r="AB23" s="220">
        <v>20</v>
      </c>
      <c r="AC23" s="235">
        <v>4</v>
      </c>
      <c r="AD23" s="235">
        <v>25</v>
      </c>
      <c r="AE23" s="235">
        <v>0.75</v>
      </c>
      <c r="AF23" s="236">
        <v>0.5</v>
      </c>
      <c r="AH23" s="334">
        <f t="shared" ref="AH23" si="18">(T23+U23+(V23*2))/10</f>
        <v>1.575</v>
      </c>
      <c r="AI23" s="340">
        <f t="shared" ref="AI23" si="19">(W23+X23+(Y23*2)+(Z23*2))/10</f>
        <v>1.575</v>
      </c>
    </row>
    <row r="24" spans="1:35" ht="21.75" thickBot="1" x14ac:dyDescent="0.4">
      <c r="C24" s="116"/>
      <c r="D24" s="394">
        <v>15.5</v>
      </c>
      <c r="E24" s="385">
        <v>1.25</v>
      </c>
      <c r="F24" s="213">
        <v>1.75</v>
      </c>
      <c r="G24" s="213">
        <v>0.75</v>
      </c>
      <c r="H24" s="213">
        <v>6.5</v>
      </c>
      <c r="I24" s="213">
        <v>5</v>
      </c>
      <c r="J24" s="213">
        <v>1.5</v>
      </c>
      <c r="K24" s="219">
        <v>25</v>
      </c>
      <c r="L24" s="214">
        <v>10</v>
      </c>
      <c r="M24" s="213">
        <v>5</v>
      </c>
      <c r="N24" s="213">
        <v>30</v>
      </c>
      <c r="O24" s="213">
        <v>0.75</v>
      </c>
      <c r="P24" s="213">
        <v>0.5</v>
      </c>
      <c r="Q24" s="336">
        <f t="shared" ref="Q24:Q26" si="20">($D24+$E24+($F24*2))/10</f>
        <v>2.0249999999999999</v>
      </c>
      <c r="R24" s="335">
        <f t="shared" ref="R24:R26" si="21">($G24+$H24+($I24*2)+($J24*2))/10</f>
        <v>2.0249999999999999</v>
      </c>
      <c r="S24" s="216"/>
      <c r="T24" s="234">
        <v>12.75</v>
      </c>
      <c r="U24" s="235">
        <v>1</v>
      </c>
      <c r="V24" s="235">
        <v>1</v>
      </c>
      <c r="W24" s="235">
        <v>0.75</v>
      </c>
      <c r="X24" s="235">
        <v>5.75</v>
      </c>
      <c r="Y24" s="235">
        <v>3.5</v>
      </c>
      <c r="Z24" s="235">
        <v>1.125</v>
      </c>
      <c r="AA24" s="219">
        <v>25</v>
      </c>
      <c r="AB24" s="220">
        <v>20</v>
      </c>
      <c r="AC24" s="235">
        <v>4</v>
      </c>
      <c r="AD24" s="235">
        <v>25</v>
      </c>
      <c r="AE24" s="235">
        <v>0.75</v>
      </c>
      <c r="AF24" s="236">
        <v>0.5</v>
      </c>
      <c r="AH24" s="334">
        <f>(T24+U24+(V24*2))/10</f>
        <v>1.575</v>
      </c>
      <c r="AI24" s="340">
        <f>(W24+X24+(Y24*2)+(Z24*2))/10</f>
        <v>1.575</v>
      </c>
    </row>
    <row r="25" spans="1:35" ht="21.75" thickBot="1" x14ac:dyDescent="0.4">
      <c r="C25" s="116"/>
      <c r="D25" s="394">
        <v>15.5</v>
      </c>
      <c r="E25" s="385">
        <v>1.25</v>
      </c>
      <c r="F25" s="213">
        <v>1.75</v>
      </c>
      <c r="G25" s="213">
        <v>0.75</v>
      </c>
      <c r="H25" s="231">
        <v>10</v>
      </c>
      <c r="I25" s="224">
        <v>3.75</v>
      </c>
      <c r="J25" s="224">
        <v>1</v>
      </c>
      <c r="K25" s="219">
        <v>25</v>
      </c>
      <c r="L25" s="214">
        <v>10</v>
      </c>
      <c r="M25" s="215">
        <v>5</v>
      </c>
      <c r="N25" s="215">
        <v>35</v>
      </c>
      <c r="O25" s="215">
        <v>0.75</v>
      </c>
      <c r="P25" s="215">
        <v>0.5</v>
      </c>
      <c r="Q25" s="336">
        <f t="shared" si="20"/>
        <v>2.0249999999999999</v>
      </c>
      <c r="R25" s="335">
        <f t="shared" si="21"/>
        <v>2.0249999999999999</v>
      </c>
      <c r="T25" s="234">
        <v>12.75</v>
      </c>
      <c r="U25" s="235">
        <v>1</v>
      </c>
      <c r="V25" s="235">
        <v>1</v>
      </c>
      <c r="W25" s="235">
        <v>0.75</v>
      </c>
      <c r="X25" s="223">
        <v>8.8000000000000007</v>
      </c>
      <c r="Y25" s="223">
        <v>2.1</v>
      </c>
      <c r="Z25" s="223">
        <v>1</v>
      </c>
      <c r="AA25" s="219">
        <v>25</v>
      </c>
      <c r="AB25" s="220">
        <v>20</v>
      </c>
      <c r="AC25" s="235">
        <v>4</v>
      </c>
      <c r="AD25" s="235">
        <v>25</v>
      </c>
      <c r="AE25" s="235">
        <v>0.75</v>
      </c>
      <c r="AF25" s="236">
        <v>0.5</v>
      </c>
      <c r="AH25" s="334">
        <f t="shared" ref="AH25:AH26" si="22">(T25+U25+(V25*2))/10</f>
        <v>1.575</v>
      </c>
      <c r="AI25" s="340">
        <f t="shared" ref="AI25:AI26" si="23">(W25+X25+(Y25*2)+(Z25*2))/10</f>
        <v>1.575</v>
      </c>
    </row>
    <row r="26" spans="1:35" ht="21.75" thickBot="1" x14ac:dyDescent="0.4">
      <c r="C26" s="116"/>
      <c r="D26" s="394">
        <v>15.5</v>
      </c>
      <c r="E26" s="385">
        <v>1.25</v>
      </c>
      <c r="F26" s="213">
        <v>1.75</v>
      </c>
      <c r="G26" s="213">
        <v>0.75</v>
      </c>
      <c r="H26" s="223">
        <v>7.5</v>
      </c>
      <c r="I26" s="224">
        <v>4.8</v>
      </c>
      <c r="J26" s="224">
        <v>1.2</v>
      </c>
      <c r="K26" s="219">
        <v>25</v>
      </c>
      <c r="L26" s="214">
        <v>10</v>
      </c>
      <c r="M26" s="215">
        <v>5</v>
      </c>
      <c r="N26" s="215">
        <v>35</v>
      </c>
      <c r="O26" s="215">
        <v>0.75</v>
      </c>
      <c r="P26" s="215">
        <v>0.5</v>
      </c>
      <c r="Q26" s="336">
        <f t="shared" si="20"/>
        <v>2.0249999999999999</v>
      </c>
      <c r="R26" s="335">
        <f t="shared" si="21"/>
        <v>2.0249999999999999</v>
      </c>
      <c r="T26" s="234">
        <v>12.75</v>
      </c>
      <c r="U26" s="235">
        <v>1</v>
      </c>
      <c r="V26" s="235">
        <v>1</v>
      </c>
      <c r="W26" s="235">
        <v>0.75</v>
      </c>
      <c r="X26" s="223">
        <v>6.6</v>
      </c>
      <c r="Y26" s="223">
        <v>3.1</v>
      </c>
      <c r="Z26" s="223">
        <v>1.1000000000000001</v>
      </c>
      <c r="AA26" s="219">
        <v>25</v>
      </c>
      <c r="AB26" s="220">
        <v>20</v>
      </c>
      <c r="AC26" s="235">
        <v>4</v>
      </c>
      <c r="AD26" s="235">
        <v>25</v>
      </c>
      <c r="AE26" s="235">
        <v>0.75</v>
      </c>
      <c r="AF26" s="236">
        <v>0.5</v>
      </c>
      <c r="AH26" s="334">
        <f t="shared" si="22"/>
        <v>1.575</v>
      </c>
      <c r="AI26" s="335">
        <f t="shared" si="23"/>
        <v>1.575</v>
      </c>
    </row>
    <row r="27" spans="1:35" x14ac:dyDescent="0.25">
      <c r="C27" s="116"/>
      <c r="D27" s="393"/>
      <c r="Q27" s="337"/>
      <c r="R27" s="337"/>
      <c r="AH27" s="337"/>
      <c r="AI27" s="337"/>
    </row>
    <row r="28" spans="1:35" ht="27.75" customHeight="1" thickBot="1" x14ac:dyDescent="0.4">
      <c r="A28" s="216"/>
      <c r="C28" s="116"/>
      <c r="D28" s="393"/>
      <c r="Q28" s="337"/>
      <c r="R28" s="337"/>
      <c r="AH28" s="337"/>
      <c r="AI28" s="337"/>
    </row>
    <row r="29" spans="1:35" ht="21.75" thickBot="1" x14ac:dyDescent="0.4">
      <c r="C29" s="116"/>
      <c r="D29" s="395">
        <v>19</v>
      </c>
      <c r="E29" s="386">
        <v>2</v>
      </c>
      <c r="F29" s="278">
        <v>1.125</v>
      </c>
      <c r="G29" s="278">
        <v>1.25</v>
      </c>
      <c r="H29" s="278">
        <v>11</v>
      </c>
      <c r="I29" s="278">
        <v>4.5</v>
      </c>
      <c r="J29" s="278">
        <v>1</v>
      </c>
      <c r="K29" s="278">
        <v>40</v>
      </c>
      <c r="L29" s="279">
        <v>10</v>
      </c>
      <c r="M29" s="278">
        <v>4</v>
      </c>
      <c r="N29" s="278">
        <v>30</v>
      </c>
      <c r="O29" s="278">
        <v>0.75</v>
      </c>
      <c r="P29" s="280">
        <v>0.5</v>
      </c>
      <c r="Q29" s="334">
        <f>($D29+$E29+($F29*2))/10</f>
        <v>2.3250000000000002</v>
      </c>
      <c r="R29" s="335">
        <f>($G29+$H29+($I29*2)+($J29*2))/10</f>
        <v>2.3250000000000002</v>
      </c>
      <c r="S29" s="216"/>
      <c r="T29" s="239">
        <v>19</v>
      </c>
      <c r="U29" s="213">
        <v>2</v>
      </c>
      <c r="V29" s="213">
        <v>1.125</v>
      </c>
      <c r="W29" s="213">
        <v>1.25</v>
      </c>
      <c r="X29" s="213">
        <v>11</v>
      </c>
      <c r="Y29" s="213">
        <v>4.5</v>
      </c>
      <c r="Z29" s="213">
        <v>1</v>
      </c>
      <c r="AA29" s="213">
        <v>40</v>
      </c>
      <c r="AB29" s="214">
        <v>10</v>
      </c>
      <c r="AC29" s="213">
        <v>4</v>
      </c>
      <c r="AD29" s="213">
        <v>30</v>
      </c>
      <c r="AE29" s="213">
        <v>0.75</v>
      </c>
      <c r="AF29" s="248">
        <v>0.5</v>
      </c>
      <c r="AG29" s="216"/>
      <c r="AH29" s="334">
        <f>(T29+U29+(V29*2))/10</f>
        <v>2.3250000000000002</v>
      </c>
      <c r="AI29" s="340">
        <f>(W29+X29+(Y29*2)+(Z29*2))/10</f>
        <v>2.3250000000000002</v>
      </c>
    </row>
    <row r="30" spans="1:35" ht="21.75" thickBot="1" x14ac:dyDescent="0.4">
      <c r="C30" s="116"/>
      <c r="D30" s="395">
        <v>19</v>
      </c>
      <c r="E30" s="386">
        <v>2</v>
      </c>
      <c r="F30" s="278">
        <v>1.125</v>
      </c>
      <c r="G30" s="278">
        <v>1.25</v>
      </c>
      <c r="H30" s="278">
        <v>11</v>
      </c>
      <c r="I30" s="278">
        <v>4.5</v>
      </c>
      <c r="J30" s="278">
        <v>1</v>
      </c>
      <c r="K30" s="278">
        <v>40</v>
      </c>
      <c r="L30" s="279">
        <v>10</v>
      </c>
      <c r="M30" s="281">
        <v>4</v>
      </c>
      <c r="N30" s="281">
        <v>30</v>
      </c>
      <c r="O30" s="281">
        <v>0.75</v>
      </c>
      <c r="P30" s="282">
        <v>0.5</v>
      </c>
      <c r="Q30" s="336">
        <f t="shared" ref="Q30:Q32" si="24">($D30+$E30+($F30*2))/10</f>
        <v>2.3250000000000002</v>
      </c>
      <c r="R30" s="335">
        <f t="shared" ref="R30:R32" si="25">($G30+$H30+($I30*2)+($J30*2))/10</f>
        <v>2.3250000000000002</v>
      </c>
      <c r="T30" s="239">
        <v>19</v>
      </c>
      <c r="U30" s="213">
        <v>2</v>
      </c>
      <c r="V30" s="213">
        <v>1.125</v>
      </c>
      <c r="W30" s="213">
        <v>1.25</v>
      </c>
      <c r="X30" s="226">
        <v>11</v>
      </c>
      <c r="Y30" s="226">
        <v>4.5</v>
      </c>
      <c r="Z30" s="226">
        <v>1</v>
      </c>
      <c r="AA30" s="213">
        <v>40</v>
      </c>
      <c r="AB30" s="214">
        <v>10</v>
      </c>
      <c r="AC30" s="215">
        <v>4</v>
      </c>
      <c r="AD30" s="215">
        <v>30</v>
      </c>
      <c r="AE30" s="215">
        <v>0.75</v>
      </c>
      <c r="AF30" s="240">
        <v>0.5</v>
      </c>
      <c r="AH30" s="334">
        <f t="shared" ref="AH30:AH31" si="26">(T30+U30+(V30*2))/10</f>
        <v>2.3250000000000002</v>
      </c>
      <c r="AI30" s="340">
        <f t="shared" ref="AI30:AI31" si="27">(W30+X30+(Y30*2)+(Z30*2))/10</f>
        <v>2.3250000000000002</v>
      </c>
    </row>
    <row r="31" spans="1:35" ht="21.75" thickBot="1" x14ac:dyDescent="0.4">
      <c r="C31" s="116"/>
      <c r="D31" s="395">
        <v>19</v>
      </c>
      <c r="E31" s="386">
        <v>2</v>
      </c>
      <c r="F31" s="278">
        <v>1.125</v>
      </c>
      <c r="G31" s="278">
        <v>1.25</v>
      </c>
      <c r="H31" s="278">
        <v>11</v>
      </c>
      <c r="I31" s="278">
        <v>4.5</v>
      </c>
      <c r="J31" s="278">
        <v>1</v>
      </c>
      <c r="K31" s="278">
        <v>40</v>
      </c>
      <c r="L31" s="279">
        <v>10</v>
      </c>
      <c r="M31" s="281">
        <v>4</v>
      </c>
      <c r="N31" s="281">
        <v>30</v>
      </c>
      <c r="O31" s="281">
        <v>0.75</v>
      </c>
      <c r="P31" s="282">
        <v>0.5</v>
      </c>
      <c r="Q31" s="336">
        <f t="shared" si="24"/>
        <v>2.3250000000000002</v>
      </c>
      <c r="R31" s="335">
        <f t="shared" si="25"/>
        <v>2.3250000000000002</v>
      </c>
      <c r="T31" s="239">
        <v>19</v>
      </c>
      <c r="U31" s="213">
        <v>2</v>
      </c>
      <c r="V31" s="213">
        <v>1.125</v>
      </c>
      <c r="W31" s="213">
        <v>1.25</v>
      </c>
      <c r="X31" s="226">
        <v>11</v>
      </c>
      <c r="Y31" s="226">
        <v>4.5</v>
      </c>
      <c r="Z31" s="226">
        <v>1</v>
      </c>
      <c r="AA31" s="213">
        <v>40</v>
      </c>
      <c r="AB31" s="214">
        <v>10</v>
      </c>
      <c r="AC31" s="215">
        <v>4</v>
      </c>
      <c r="AD31" s="215">
        <v>30</v>
      </c>
      <c r="AE31" s="215">
        <v>0.75</v>
      </c>
      <c r="AF31" s="240">
        <v>0.5</v>
      </c>
      <c r="AH31" s="334">
        <f t="shared" si="26"/>
        <v>2.3250000000000002</v>
      </c>
      <c r="AI31" s="335">
        <f t="shared" si="27"/>
        <v>2.3250000000000002</v>
      </c>
    </row>
    <row r="32" spans="1:35" ht="21.75" thickBot="1" x14ac:dyDescent="0.4">
      <c r="C32" s="116"/>
      <c r="D32" s="395">
        <v>19</v>
      </c>
      <c r="E32" s="386">
        <v>2</v>
      </c>
      <c r="F32" s="278">
        <v>1.125</v>
      </c>
      <c r="G32" s="278">
        <v>1.25</v>
      </c>
      <c r="H32" s="278">
        <v>11</v>
      </c>
      <c r="I32" s="278">
        <v>4.5</v>
      </c>
      <c r="J32" s="278">
        <v>1</v>
      </c>
      <c r="K32" s="278">
        <v>40</v>
      </c>
      <c r="L32" s="279">
        <v>10</v>
      </c>
      <c r="M32" s="281">
        <v>4</v>
      </c>
      <c r="N32" s="281">
        <v>30</v>
      </c>
      <c r="O32" s="281">
        <v>0.75</v>
      </c>
      <c r="P32" s="282">
        <v>0.5</v>
      </c>
      <c r="Q32" s="336">
        <f t="shared" si="24"/>
        <v>2.3250000000000002</v>
      </c>
      <c r="R32" s="335">
        <f t="shared" si="25"/>
        <v>2.3250000000000002</v>
      </c>
      <c r="T32" s="239">
        <v>19</v>
      </c>
      <c r="U32" s="213">
        <v>2</v>
      </c>
      <c r="V32" s="213">
        <v>1.125</v>
      </c>
      <c r="W32" s="213">
        <v>1.25</v>
      </c>
      <c r="X32" s="226">
        <v>11</v>
      </c>
      <c r="Y32" s="226">
        <v>4.5</v>
      </c>
      <c r="Z32" s="226">
        <v>1</v>
      </c>
      <c r="AA32" s="213">
        <v>40</v>
      </c>
      <c r="AB32" s="214">
        <v>10</v>
      </c>
      <c r="AC32" s="215">
        <v>4</v>
      </c>
      <c r="AD32" s="215">
        <v>30</v>
      </c>
      <c r="AE32" s="215">
        <v>0.75</v>
      </c>
      <c r="AF32" s="240">
        <v>0.5</v>
      </c>
      <c r="AH32" s="341"/>
      <c r="AI32" s="342"/>
    </row>
    <row r="33" spans="1:35" x14ac:dyDescent="0.25">
      <c r="C33" s="116"/>
      <c r="D33" s="77"/>
      <c r="E33" s="387"/>
      <c r="F33" s="210"/>
      <c r="G33" s="210"/>
      <c r="H33" s="210"/>
      <c r="I33" s="210"/>
      <c r="J33" s="210"/>
      <c r="K33" s="210"/>
      <c r="L33" s="211"/>
      <c r="M33" s="210"/>
      <c r="N33" s="210"/>
      <c r="O33" s="210"/>
      <c r="P33" s="210"/>
      <c r="Q33" s="338"/>
      <c r="R33" s="338"/>
      <c r="T33" s="232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233"/>
      <c r="AH33" s="337"/>
      <c r="AI33" s="337"/>
    </row>
    <row r="34" spans="1:35" ht="22.5" customHeight="1" thickBot="1" x14ac:dyDescent="0.4">
      <c r="A34" s="216"/>
      <c r="C34" s="116"/>
      <c r="D34" s="393"/>
      <c r="Q34" s="337"/>
      <c r="R34" s="337"/>
      <c r="AH34" s="337"/>
      <c r="AI34" s="337"/>
    </row>
    <row r="35" spans="1:35" ht="21.75" thickBot="1" x14ac:dyDescent="0.4">
      <c r="C35" s="116"/>
      <c r="D35" s="394">
        <v>6</v>
      </c>
      <c r="E35" s="385">
        <v>0.7</v>
      </c>
      <c r="F35" s="213">
        <v>0.8</v>
      </c>
      <c r="G35" s="213">
        <v>0.5</v>
      </c>
      <c r="H35" s="213">
        <v>3.5</v>
      </c>
      <c r="I35" s="213">
        <v>1.25</v>
      </c>
      <c r="J35" s="213">
        <v>0.9</v>
      </c>
      <c r="K35" s="213">
        <v>45</v>
      </c>
      <c r="L35" s="214">
        <v>6</v>
      </c>
      <c r="M35" s="213">
        <v>3</v>
      </c>
      <c r="N35" s="213">
        <v>40</v>
      </c>
      <c r="O35" s="213">
        <v>1</v>
      </c>
      <c r="P35" s="213">
        <v>0.5</v>
      </c>
      <c r="Q35" s="334">
        <f>($D35+$E35+($F35*2))/10</f>
        <v>0.83000000000000007</v>
      </c>
      <c r="R35" s="335">
        <f>($G35+$H35+($I35*2)+($J35*2))/10</f>
        <v>0.83000000000000007</v>
      </c>
      <c r="T35" s="278">
        <v>6</v>
      </c>
      <c r="U35" s="278">
        <v>0.7</v>
      </c>
      <c r="V35" s="278">
        <v>0.8</v>
      </c>
      <c r="W35" s="278">
        <v>0.5</v>
      </c>
      <c r="X35" s="278">
        <v>3.5</v>
      </c>
      <c r="Y35" s="278">
        <v>1.25</v>
      </c>
      <c r="Z35" s="278">
        <v>0.9</v>
      </c>
      <c r="AA35" s="538">
        <v>45</v>
      </c>
      <c r="AB35" s="279">
        <v>6</v>
      </c>
      <c r="AC35" s="278">
        <v>3</v>
      </c>
      <c r="AD35" s="278">
        <v>40</v>
      </c>
      <c r="AE35" s="278">
        <v>1</v>
      </c>
      <c r="AF35" s="278">
        <v>0.5</v>
      </c>
      <c r="AH35" s="334">
        <f t="shared" ref="AH35" si="28">(T35+U35+(V35*2))/10</f>
        <v>0.83000000000000007</v>
      </c>
      <c r="AI35" s="340">
        <f t="shared" ref="AI35" si="29">(W35+X35+(Y35*2)+(Z35*2))/10</f>
        <v>0.83000000000000007</v>
      </c>
    </row>
    <row r="36" spans="1:35" ht="21.75" thickBot="1" x14ac:dyDescent="0.4">
      <c r="C36" s="116"/>
      <c r="D36" s="396">
        <v>6</v>
      </c>
      <c r="E36" s="388">
        <v>0.7</v>
      </c>
      <c r="F36" s="215">
        <v>0.8</v>
      </c>
      <c r="G36" s="215">
        <v>0.5</v>
      </c>
      <c r="H36" s="226">
        <v>3.5</v>
      </c>
      <c r="I36" s="226">
        <v>1.25</v>
      </c>
      <c r="J36" s="226">
        <v>0.9</v>
      </c>
      <c r="K36" s="213">
        <v>45</v>
      </c>
      <c r="L36" s="217">
        <v>6</v>
      </c>
      <c r="M36" s="215">
        <v>3</v>
      </c>
      <c r="N36" s="215">
        <v>40</v>
      </c>
      <c r="O36" s="215">
        <v>1</v>
      </c>
      <c r="P36" s="215">
        <v>0.5</v>
      </c>
      <c r="Q36" s="336">
        <f t="shared" ref="Q36:Q38" si="30">($D36+$E36+($F36*2))/10</f>
        <v>0.83000000000000007</v>
      </c>
      <c r="R36" s="335">
        <f t="shared" ref="R36:R38" si="31">($G36+$H36+($I36*2)+($J36*2))/10</f>
        <v>0.83000000000000007</v>
      </c>
      <c r="T36" s="281">
        <v>6</v>
      </c>
      <c r="U36" s="281">
        <v>0.7</v>
      </c>
      <c r="V36" s="281">
        <v>0.8</v>
      </c>
      <c r="W36" s="281">
        <v>0.5</v>
      </c>
      <c r="X36" s="278">
        <v>3.5</v>
      </c>
      <c r="Y36" s="278">
        <v>1.25</v>
      </c>
      <c r="Z36" s="278">
        <v>0.9</v>
      </c>
      <c r="AA36" s="538">
        <v>45</v>
      </c>
      <c r="AB36" s="283">
        <v>6</v>
      </c>
      <c r="AC36" s="281">
        <v>3</v>
      </c>
      <c r="AD36" s="281">
        <v>40</v>
      </c>
      <c r="AE36" s="281">
        <v>1</v>
      </c>
      <c r="AF36" s="281">
        <v>0.5</v>
      </c>
      <c r="AH36" s="334">
        <f t="shared" ref="AH36:AH38" si="32">(T36+U36+(V36*2))/10</f>
        <v>0.83000000000000007</v>
      </c>
      <c r="AI36" s="340">
        <f t="shared" ref="AI36:AI38" si="33">(W36+X36+(Y36*2)+(Z36*2))/10</f>
        <v>0.83000000000000007</v>
      </c>
    </row>
    <row r="37" spans="1:35" ht="21.75" thickBot="1" x14ac:dyDescent="0.4">
      <c r="C37" s="116"/>
      <c r="D37" s="396">
        <v>6</v>
      </c>
      <c r="E37" s="388">
        <v>0.7</v>
      </c>
      <c r="F37" s="215">
        <v>0.8</v>
      </c>
      <c r="G37" s="215">
        <v>0.5</v>
      </c>
      <c r="H37" s="226">
        <v>3.5</v>
      </c>
      <c r="I37" s="226">
        <v>1.25</v>
      </c>
      <c r="J37" s="226">
        <v>0.9</v>
      </c>
      <c r="K37" s="213">
        <v>45</v>
      </c>
      <c r="L37" s="217">
        <v>6</v>
      </c>
      <c r="M37" s="215">
        <v>3</v>
      </c>
      <c r="N37" s="215">
        <v>40</v>
      </c>
      <c r="O37" s="215">
        <v>1</v>
      </c>
      <c r="P37" s="215">
        <v>0.5</v>
      </c>
      <c r="Q37" s="336">
        <f t="shared" si="30"/>
        <v>0.83000000000000007</v>
      </c>
      <c r="R37" s="335">
        <f t="shared" si="31"/>
        <v>0.83000000000000007</v>
      </c>
      <c r="T37" s="281">
        <v>6</v>
      </c>
      <c r="U37" s="281">
        <v>0.7</v>
      </c>
      <c r="V37" s="281">
        <v>0.8</v>
      </c>
      <c r="W37" s="281">
        <v>0.5</v>
      </c>
      <c r="X37" s="278">
        <v>3.5</v>
      </c>
      <c r="Y37" s="278">
        <v>1.25</v>
      </c>
      <c r="Z37" s="278">
        <v>0.9</v>
      </c>
      <c r="AA37" s="538">
        <v>45</v>
      </c>
      <c r="AB37" s="283">
        <v>6</v>
      </c>
      <c r="AC37" s="281">
        <v>3</v>
      </c>
      <c r="AD37" s="281">
        <v>40</v>
      </c>
      <c r="AE37" s="281">
        <v>1</v>
      </c>
      <c r="AF37" s="281">
        <v>0.5</v>
      </c>
      <c r="AH37" s="334">
        <f t="shared" si="32"/>
        <v>0.83000000000000007</v>
      </c>
      <c r="AI37" s="340">
        <f t="shared" si="33"/>
        <v>0.83000000000000007</v>
      </c>
    </row>
    <row r="38" spans="1:35" ht="21.75" thickBot="1" x14ac:dyDescent="0.4">
      <c r="C38" s="116"/>
      <c r="D38" s="396">
        <v>6</v>
      </c>
      <c r="E38" s="388">
        <v>0.7</v>
      </c>
      <c r="F38" s="215">
        <v>0.8</v>
      </c>
      <c r="G38" s="215">
        <v>0.5</v>
      </c>
      <c r="H38" s="226">
        <v>3.5</v>
      </c>
      <c r="I38" s="226">
        <v>1.25</v>
      </c>
      <c r="J38" s="226">
        <v>0.9</v>
      </c>
      <c r="K38" s="213">
        <v>45</v>
      </c>
      <c r="L38" s="217">
        <v>6</v>
      </c>
      <c r="M38" s="215">
        <v>3</v>
      </c>
      <c r="N38" s="215">
        <v>40</v>
      </c>
      <c r="O38" s="215">
        <v>1</v>
      </c>
      <c r="P38" s="215">
        <v>0.5</v>
      </c>
      <c r="Q38" s="336">
        <f t="shared" si="30"/>
        <v>0.83000000000000007</v>
      </c>
      <c r="R38" s="335">
        <f t="shared" si="31"/>
        <v>0.83000000000000007</v>
      </c>
      <c r="T38" s="281">
        <v>6</v>
      </c>
      <c r="U38" s="281">
        <v>0.7</v>
      </c>
      <c r="V38" s="281">
        <v>0.8</v>
      </c>
      <c r="W38" s="281">
        <v>0.5</v>
      </c>
      <c r="X38" s="278">
        <v>3.5</v>
      </c>
      <c r="Y38" s="278">
        <v>1.25</v>
      </c>
      <c r="Z38" s="278">
        <v>0.9</v>
      </c>
      <c r="AA38" s="538">
        <v>45</v>
      </c>
      <c r="AB38" s="283">
        <v>6</v>
      </c>
      <c r="AC38" s="281">
        <v>3</v>
      </c>
      <c r="AD38" s="281">
        <v>40</v>
      </c>
      <c r="AE38" s="281">
        <v>1</v>
      </c>
      <c r="AF38" s="281">
        <v>0.5</v>
      </c>
      <c r="AH38" s="334">
        <f t="shared" si="32"/>
        <v>0.83000000000000007</v>
      </c>
      <c r="AI38" s="335">
        <f t="shared" si="33"/>
        <v>0.83000000000000007</v>
      </c>
    </row>
    <row r="39" spans="1:35" x14ac:dyDescent="0.25">
      <c r="C39" s="116"/>
      <c r="D39" s="77"/>
      <c r="E39" s="387"/>
      <c r="F39" s="210"/>
      <c r="G39" s="210"/>
      <c r="H39" s="210"/>
      <c r="I39" s="210"/>
      <c r="J39" s="210"/>
      <c r="K39" s="210"/>
      <c r="L39" s="211"/>
      <c r="M39" s="139"/>
      <c r="N39" s="139"/>
      <c r="O39" s="139"/>
      <c r="P39" s="139"/>
      <c r="Q39" s="338"/>
      <c r="R39" s="338"/>
      <c r="T39" s="232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233"/>
      <c r="AH39" s="337"/>
      <c r="AI39" s="337"/>
    </row>
    <row r="40" spans="1:35" ht="30.75" customHeight="1" thickBot="1" x14ac:dyDescent="0.4">
      <c r="A40" s="216"/>
      <c r="C40" s="116"/>
      <c r="D40" s="393"/>
      <c r="Q40" s="337"/>
      <c r="R40" s="337"/>
      <c r="AH40" s="337"/>
      <c r="AI40" s="337"/>
    </row>
    <row r="41" spans="1:35" ht="21.75" thickBot="1" x14ac:dyDescent="0.4">
      <c r="C41" s="116"/>
      <c r="D41" s="394">
        <v>11</v>
      </c>
      <c r="E41" s="385">
        <v>1.25</v>
      </c>
      <c r="F41" s="213">
        <v>1.25</v>
      </c>
      <c r="G41" s="213">
        <v>1.25</v>
      </c>
      <c r="H41" s="213">
        <v>4.5</v>
      </c>
      <c r="I41" s="213">
        <v>3.25</v>
      </c>
      <c r="J41" s="213">
        <v>1.25</v>
      </c>
      <c r="K41" s="213">
        <v>55</v>
      </c>
      <c r="L41" s="214">
        <v>15</v>
      </c>
      <c r="M41" s="215">
        <v>3.5</v>
      </c>
      <c r="N41" s="215">
        <v>20</v>
      </c>
      <c r="O41" s="215">
        <v>0.75</v>
      </c>
      <c r="P41" s="215">
        <v>0.5</v>
      </c>
      <c r="Q41" s="334">
        <f>($D41+$E41+($F41*2))/10</f>
        <v>1.4750000000000001</v>
      </c>
      <c r="R41" s="335">
        <f>($G41+$H41+($I41*2)+($J41*2))/10</f>
        <v>1.4750000000000001</v>
      </c>
      <c r="S41" s="216"/>
      <c r="T41" s="234">
        <v>4.3</v>
      </c>
      <c r="U41" s="235">
        <v>0.5</v>
      </c>
      <c r="V41" s="235">
        <v>0.5</v>
      </c>
      <c r="W41" s="235">
        <v>0.8</v>
      </c>
      <c r="X41" s="235">
        <v>2.2000000000000002</v>
      </c>
      <c r="Y41" s="235">
        <v>0.9</v>
      </c>
      <c r="Z41" s="235">
        <v>0.5</v>
      </c>
      <c r="AA41" s="213">
        <v>55</v>
      </c>
      <c r="AB41" s="216">
        <v>15</v>
      </c>
      <c r="AC41" s="235">
        <v>3.5</v>
      </c>
      <c r="AD41" s="235">
        <v>15</v>
      </c>
      <c r="AE41" s="235">
        <v>0.5</v>
      </c>
      <c r="AF41" s="236">
        <v>0.5</v>
      </c>
      <c r="AH41" s="334">
        <f>(T41+U41+(V41*2))/10</f>
        <v>0.57999999999999996</v>
      </c>
      <c r="AI41" s="340">
        <f>(W41+X41+(Y41*2)+(Z41*2))/10</f>
        <v>0.57999999999999996</v>
      </c>
    </row>
    <row r="42" spans="1:35" ht="21.75" thickBot="1" x14ac:dyDescent="0.4">
      <c r="C42" s="116"/>
      <c r="D42" s="394">
        <v>11</v>
      </c>
      <c r="E42" s="385">
        <v>1.25</v>
      </c>
      <c r="F42" s="213">
        <v>1.25</v>
      </c>
      <c r="G42" s="213">
        <v>1.25</v>
      </c>
      <c r="H42" s="226">
        <v>4.5</v>
      </c>
      <c r="I42" s="226">
        <v>3.25</v>
      </c>
      <c r="J42" s="226">
        <v>1.25</v>
      </c>
      <c r="K42" s="213">
        <v>55</v>
      </c>
      <c r="L42" s="214">
        <v>15</v>
      </c>
      <c r="M42" s="215">
        <v>3.5</v>
      </c>
      <c r="N42" s="215">
        <v>20</v>
      </c>
      <c r="O42" s="215">
        <v>0.75</v>
      </c>
      <c r="P42" s="215">
        <v>0.5</v>
      </c>
      <c r="Q42" s="336">
        <f t="shared" ref="Q42:Q44" si="34">($D42+$E42+($F42*2))/10</f>
        <v>1.4750000000000001</v>
      </c>
      <c r="R42" s="335">
        <f t="shared" ref="R42:R44" si="35">($G42+$H42+($I42*2)+($J42*2))/10</f>
        <v>1.4750000000000001</v>
      </c>
      <c r="T42" s="234">
        <v>4.3</v>
      </c>
      <c r="U42" s="235">
        <v>0.5</v>
      </c>
      <c r="V42" s="235">
        <v>0.5</v>
      </c>
      <c r="W42" s="235">
        <v>0.8</v>
      </c>
      <c r="X42" s="241">
        <v>2.2000000000000002</v>
      </c>
      <c r="Y42" s="241">
        <v>0.9</v>
      </c>
      <c r="Z42" s="241">
        <v>0.5</v>
      </c>
      <c r="AA42" s="213">
        <v>55</v>
      </c>
      <c r="AB42" s="216">
        <v>15</v>
      </c>
      <c r="AC42" s="235">
        <v>3.5</v>
      </c>
      <c r="AD42" s="235">
        <v>15</v>
      </c>
      <c r="AE42" s="235">
        <v>0.5</v>
      </c>
      <c r="AF42" s="236">
        <v>0.5</v>
      </c>
      <c r="AH42" s="334">
        <f t="shared" ref="AH42:AH44" si="36">(T42+U42+(V42*2))/10</f>
        <v>0.57999999999999996</v>
      </c>
      <c r="AI42" s="340">
        <f t="shared" ref="AI42:AI44" si="37">(W42+X42+(Y42*2)+(Z42*2))/10</f>
        <v>0.57999999999999996</v>
      </c>
    </row>
    <row r="43" spans="1:35" ht="21.75" thickBot="1" x14ac:dyDescent="0.4">
      <c r="C43" s="116"/>
      <c r="D43" s="394">
        <v>11</v>
      </c>
      <c r="E43" s="385">
        <v>1.25</v>
      </c>
      <c r="F43" s="213">
        <v>1.25</v>
      </c>
      <c r="G43" s="213">
        <v>1.25</v>
      </c>
      <c r="H43" s="226">
        <v>4.5</v>
      </c>
      <c r="I43" s="226">
        <v>3.25</v>
      </c>
      <c r="J43" s="226">
        <v>1.25</v>
      </c>
      <c r="K43" s="213">
        <v>55</v>
      </c>
      <c r="L43" s="214">
        <v>15</v>
      </c>
      <c r="M43" s="215">
        <v>3.5</v>
      </c>
      <c r="N43" s="215">
        <v>20</v>
      </c>
      <c r="O43" s="215">
        <v>0.75</v>
      </c>
      <c r="P43" s="215">
        <v>0.5</v>
      </c>
      <c r="Q43" s="336">
        <f t="shared" si="34"/>
        <v>1.4750000000000001</v>
      </c>
      <c r="R43" s="335">
        <f t="shared" si="35"/>
        <v>1.4750000000000001</v>
      </c>
      <c r="T43" s="234">
        <v>4.3</v>
      </c>
      <c r="U43" s="235">
        <v>0.5</v>
      </c>
      <c r="V43" s="235">
        <v>0.5</v>
      </c>
      <c r="W43" s="235">
        <v>0.8</v>
      </c>
      <c r="X43" s="241">
        <v>2.2000000000000002</v>
      </c>
      <c r="Y43" s="241">
        <v>0.9</v>
      </c>
      <c r="Z43" s="241">
        <v>0.5</v>
      </c>
      <c r="AA43" s="213">
        <v>55</v>
      </c>
      <c r="AB43" s="216">
        <v>15</v>
      </c>
      <c r="AC43" s="235">
        <v>3.5</v>
      </c>
      <c r="AD43" s="235">
        <v>15</v>
      </c>
      <c r="AE43" s="235">
        <v>0.5</v>
      </c>
      <c r="AF43" s="236">
        <v>0.5</v>
      </c>
      <c r="AH43" s="334">
        <f t="shared" si="36"/>
        <v>0.57999999999999996</v>
      </c>
      <c r="AI43" s="340">
        <f t="shared" si="37"/>
        <v>0.57999999999999996</v>
      </c>
    </row>
    <row r="44" spans="1:35" ht="21.75" thickBot="1" x14ac:dyDescent="0.4">
      <c r="C44" s="116"/>
      <c r="D44" s="394">
        <v>11</v>
      </c>
      <c r="E44" s="385">
        <v>1.25</v>
      </c>
      <c r="F44" s="213">
        <v>1.25</v>
      </c>
      <c r="G44" s="213">
        <v>1.25</v>
      </c>
      <c r="H44" s="226">
        <v>4.5</v>
      </c>
      <c r="I44" s="226">
        <v>3.25</v>
      </c>
      <c r="J44" s="226">
        <v>1.25</v>
      </c>
      <c r="K44" s="213">
        <v>55</v>
      </c>
      <c r="L44" s="214">
        <v>15</v>
      </c>
      <c r="M44" s="215">
        <v>3.5</v>
      </c>
      <c r="N44" s="215">
        <v>20</v>
      </c>
      <c r="O44" s="215">
        <v>0.75</v>
      </c>
      <c r="P44" s="215">
        <v>0.5</v>
      </c>
      <c r="Q44" s="336">
        <f t="shared" si="34"/>
        <v>1.4750000000000001</v>
      </c>
      <c r="R44" s="335">
        <f t="shared" si="35"/>
        <v>1.4750000000000001</v>
      </c>
      <c r="T44" s="234">
        <v>4.3</v>
      </c>
      <c r="U44" s="235">
        <v>0.5</v>
      </c>
      <c r="V44" s="235">
        <v>0.5</v>
      </c>
      <c r="W44" s="235">
        <v>0.8</v>
      </c>
      <c r="X44" s="241">
        <v>2.2000000000000002</v>
      </c>
      <c r="Y44" s="241">
        <v>0.9</v>
      </c>
      <c r="Z44" s="241">
        <v>0.5</v>
      </c>
      <c r="AA44" s="213">
        <v>55</v>
      </c>
      <c r="AB44" s="216">
        <v>15</v>
      </c>
      <c r="AC44" s="235">
        <v>3.5</v>
      </c>
      <c r="AD44" s="235">
        <v>15</v>
      </c>
      <c r="AE44" s="235">
        <v>0.5</v>
      </c>
      <c r="AF44" s="236">
        <v>0.5</v>
      </c>
      <c r="AH44" s="334">
        <f t="shared" si="36"/>
        <v>0.57999999999999996</v>
      </c>
      <c r="AI44" s="335">
        <f t="shared" si="37"/>
        <v>0.57999999999999996</v>
      </c>
    </row>
    <row r="45" spans="1:35" x14ac:dyDescent="0.25">
      <c r="C45" s="116"/>
      <c r="D45" s="77"/>
      <c r="E45" s="387"/>
      <c r="F45" s="210"/>
      <c r="G45" s="210"/>
      <c r="H45" s="210"/>
      <c r="I45" s="210"/>
      <c r="J45" s="210"/>
      <c r="K45" s="210"/>
      <c r="L45" s="211"/>
      <c r="M45" s="139"/>
      <c r="N45" s="139"/>
      <c r="O45" s="139"/>
      <c r="P45" s="139"/>
      <c r="Q45" s="338"/>
      <c r="R45" s="338"/>
      <c r="T45" s="232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233"/>
      <c r="AH45" s="337"/>
      <c r="AI45" s="337"/>
    </row>
    <row r="46" spans="1:35" ht="26.25" customHeight="1" thickBot="1" x14ac:dyDescent="0.4">
      <c r="A46" s="216"/>
      <c r="C46" s="116"/>
      <c r="D46" s="393"/>
      <c r="Q46" s="337"/>
      <c r="R46" s="337"/>
      <c r="AH46" s="337"/>
      <c r="AI46" s="337"/>
    </row>
    <row r="47" spans="1:35" ht="21.75" thickBot="1" x14ac:dyDescent="0.4">
      <c r="C47" s="116"/>
      <c r="D47" s="394">
        <v>11.25</v>
      </c>
      <c r="E47" s="385">
        <v>1.25</v>
      </c>
      <c r="F47" s="213">
        <v>1.25</v>
      </c>
      <c r="G47" s="213">
        <v>1.5</v>
      </c>
      <c r="H47" s="213">
        <v>5.5</v>
      </c>
      <c r="I47" s="213">
        <v>3</v>
      </c>
      <c r="J47" s="213">
        <v>1</v>
      </c>
      <c r="K47" s="213">
        <v>55</v>
      </c>
      <c r="L47" s="214">
        <v>15</v>
      </c>
      <c r="M47" s="213">
        <v>4</v>
      </c>
      <c r="N47" s="213">
        <v>30</v>
      </c>
      <c r="O47" s="213">
        <v>0.75</v>
      </c>
      <c r="P47" s="213">
        <v>0.5</v>
      </c>
      <c r="Q47" s="334">
        <f>($D47+$E47+($F47*2))/10</f>
        <v>1.5</v>
      </c>
      <c r="R47" s="335">
        <f>($G47+$H47+($I47*2)+($J47*2))/10</f>
        <v>1.5</v>
      </c>
      <c r="S47" s="216"/>
      <c r="T47" s="234">
        <v>7.25</v>
      </c>
      <c r="U47" s="235">
        <v>0.6</v>
      </c>
      <c r="V47" s="235">
        <v>0.7</v>
      </c>
      <c r="W47" s="235">
        <v>0.75</v>
      </c>
      <c r="X47" s="235">
        <v>4.5</v>
      </c>
      <c r="Y47" s="235">
        <v>1.6</v>
      </c>
      <c r="Z47" s="235">
        <v>0.4</v>
      </c>
      <c r="AA47" s="213">
        <v>55</v>
      </c>
      <c r="AB47" s="214">
        <v>15</v>
      </c>
      <c r="AC47" s="235">
        <v>3</v>
      </c>
      <c r="AD47" s="235">
        <v>20</v>
      </c>
      <c r="AE47" s="235">
        <v>0.5</v>
      </c>
      <c r="AF47" s="236">
        <v>0.5</v>
      </c>
      <c r="AH47" s="334">
        <f>(T47+U47+(V47*2))/10</f>
        <v>0.92500000000000004</v>
      </c>
      <c r="AI47" s="340">
        <f>(W47+X47+(Y47*2)+(Z47*2))/10</f>
        <v>0.92500000000000004</v>
      </c>
    </row>
    <row r="48" spans="1:35" ht="21.75" thickBot="1" x14ac:dyDescent="0.4">
      <c r="C48" s="116"/>
      <c r="D48" s="394">
        <v>11.25</v>
      </c>
      <c r="E48" s="385">
        <v>1.25</v>
      </c>
      <c r="F48" s="213">
        <v>1.25</v>
      </c>
      <c r="G48" s="213">
        <v>1.5</v>
      </c>
      <c r="H48" s="226">
        <v>5.5</v>
      </c>
      <c r="I48" s="226">
        <v>3</v>
      </c>
      <c r="J48" s="226">
        <v>1</v>
      </c>
      <c r="K48" s="213">
        <v>55</v>
      </c>
      <c r="L48" s="214">
        <v>15</v>
      </c>
      <c r="M48" s="215">
        <v>4</v>
      </c>
      <c r="N48" s="215">
        <v>30</v>
      </c>
      <c r="O48" s="215">
        <v>0.75</v>
      </c>
      <c r="P48" s="215">
        <v>0.5</v>
      </c>
      <c r="Q48" s="336">
        <f t="shared" ref="Q48:Q50" si="38">($D48+$E48+($F48*2))/10</f>
        <v>1.5</v>
      </c>
      <c r="R48" s="335">
        <f t="shared" ref="R48:R50" si="39">($G48+$H48+($I48*2)+($J48*2))/10</f>
        <v>1.5</v>
      </c>
      <c r="T48" s="234">
        <v>7.25</v>
      </c>
      <c r="U48" s="235">
        <v>0.6</v>
      </c>
      <c r="V48" s="235">
        <v>0.7</v>
      </c>
      <c r="W48" s="235">
        <v>0.75</v>
      </c>
      <c r="X48" s="241">
        <v>4.5</v>
      </c>
      <c r="Y48" s="241">
        <v>1.6</v>
      </c>
      <c r="Z48" s="241">
        <v>0.4</v>
      </c>
      <c r="AA48" s="213">
        <v>55</v>
      </c>
      <c r="AB48" s="214">
        <v>15</v>
      </c>
      <c r="AC48" s="235">
        <v>3</v>
      </c>
      <c r="AD48" s="235">
        <v>20</v>
      </c>
      <c r="AE48" s="235">
        <v>0.5</v>
      </c>
      <c r="AF48" s="236">
        <v>0.5</v>
      </c>
      <c r="AH48" s="334">
        <f t="shared" ref="AH48:AH50" si="40">(T48+U48+(V48*2))/10</f>
        <v>0.92500000000000004</v>
      </c>
      <c r="AI48" s="340">
        <f t="shared" ref="AI48:AI50" si="41">(W48+X48+(Y48*2)+(Z48*2))/10</f>
        <v>0.92500000000000004</v>
      </c>
    </row>
    <row r="49" spans="1:36" ht="21.75" thickBot="1" x14ac:dyDescent="0.4">
      <c r="C49" s="116"/>
      <c r="D49" s="394">
        <v>11.25</v>
      </c>
      <c r="E49" s="385">
        <v>1.25</v>
      </c>
      <c r="F49" s="213">
        <v>1.25</v>
      </c>
      <c r="G49" s="213">
        <v>1.5</v>
      </c>
      <c r="H49" s="226">
        <v>5.5</v>
      </c>
      <c r="I49" s="226">
        <v>3</v>
      </c>
      <c r="J49" s="226">
        <v>1</v>
      </c>
      <c r="K49" s="213">
        <v>55</v>
      </c>
      <c r="L49" s="214">
        <v>15</v>
      </c>
      <c r="M49" s="215">
        <v>4</v>
      </c>
      <c r="N49" s="215">
        <v>30</v>
      </c>
      <c r="O49" s="215">
        <v>0.75</v>
      </c>
      <c r="P49" s="215">
        <v>0.5</v>
      </c>
      <c r="Q49" s="336">
        <f t="shared" si="38"/>
        <v>1.5</v>
      </c>
      <c r="R49" s="335">
        <f t="shared" si="39"/>
        <v>1.5</v>
      </c>
      <c r="T49" s="234">
        <v>7.25</v>
      </c>
      <c r="U49" s="235">
        <v>0.6</v>
      </c>
      <c r="V49" s="235">
        <v>0.7</v>
      </c>
      <c r="W49" s="235">
        <v>0.75</v>
      </c>
      <c r="X49" s="241">
        <v>4.5</v>
      </c>
      <c r="Y49" s="241">
        <v>1.6</v>
      </c>
      <c r="Z49" s="241">
        <v>0.4</v>
      </c>
      <c r="AA49" s="213">
        <v>55</v>
      </c>
      <c r="AB49" s="214">
        <v>15</v>
      </c>
      <c r="AC49" s="235">
        <v>3</v>
      </c>
      <c r="AD49" s="235">
        <v>20</v>
      </c>
      <c r="AE49" s="235">
        <v>0.5</v>
      </c>
      <c r="AF49" s="236">
        <v>0.5</v>
      </c>
      <c r="AH49" s="334">
        <f t="shared" si="40"/>
        <v>0.92500000000000004</v>
      </c>
      <c r="AI49" s="340">
        <f t="shared" si="41"/>
        <v>0.92500000000000004</v>
      </c>
    </row>
    <row r="50" spans="1:36" ht="21.75" thickBot="1" x14ac:dyDescent="0.4">
      <c r="C50" s="116"/>
      <c r="D50" s="394">
        <v>11.25</v>
      </c>
      <c r="E50" s="385">
        <v>1.25</v>
      </c>
      <c r="F50" s="213">
        <v>1.25</v>
      </c>
      <c r="G50" s="213">
        <v>1.5</v>
      </c>
      <c r="H50" s="226">
        <v>5.5</v>
      </c>
      <c r="I50" s="226">
        <v>3</v>
      </c>
      <c r="J50" s="226">
        <v>1</v>
      </c>
      <c r="K50" s="213">
        <v>55</v>
      </c>
      <c r="L50" s="214">
        <v>15</v>
      </c>
      <c r="M50" s="215">
        <v>4</v>
      </c>
      <c r="N50" s="215">
        <v>30</v>
      </c>
      <c r="O50" s="215">
        <v>0.75</v>
      </c>
      <c r="P50" s="215">
        <v>0.5</v>
      </c>
      <c r="Q50" s="336">
        <f t="shared" si="38"/>
        <v>1.5</v>
      </c>
      <c r="R50" s="335">
        <f t="shared" si="39"/>
        <v>1.5</v>
      </c>
      <c r="T50" s="234">
        <v>7.25</v>
      </c>
      <c r="U50" s="235">
        <v>0.6</v>
      </c>
      <c r="V50" s="235">
        <v>0.7</v>
      </c>
      <c r="W50" s="235">
        <v>0.75</v>
      </c>
      <c r="X50" s="241">
        <v>4.5</v>
      </c>
      <c r="Y50" s="241">
        <v>1.6</v>
      </c>
      <c r="Z50" s="241">
        <v>0.4</v>
      </c>
      <c r="AA50" s="213">
        <v>55</v>
      </c>
      <c r="AB50" s="214">
        <v>15</v>
      </c>
      <c r="AC50" s="235">
        <v>3</v>
      </c>
      <c r="AD50" s="235">
        <v>20</v>
      </c>
      <c r="AE50" s="235">
        <v>0.5</v>
      </c>
      <c r="AF50" s="236">
        <v>0.5</v>
      </c>
      <c r="AH50" s="334">
        <f t="shared" si="40"/>
        <v>0.92500000000000004</v>
      </c>
      <c r="AI50" s="335">
        <f t="shared" si="41"/>
        <v>0.92500000000000004</v>
      </c>
    </row>
    <row r="51" spans="1:36" x14ac:dyDescent="0.25">
      <c r="C51" s="116"/>
      <c r="D51" s="77"/>
      <c r="E51" s="387"/>
      <c r="F51" s="210"/>
      <c r="G51" s="210"/>
      <c r="H51" s="210"/>
      <c r="I51" s="210"/>
      <c r="J51" s="210"/>
      <c r="K51" s="210"/>
      <c r="L51" s="211"/>
      <c r="M51" s="210"/>
      <c r="N51" s="210"/>
      <c r="O51" s="210"/>
      <c r="P51" s="210"/>
      <c r="Q51" s="338"/>
      <c r="R51" s="338"/>
      <c r="T51" s="232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233"/>
      <c r="AH51" s="337"/>
      <c r="AI51" s="337"/>
    </row>
    <row r="52" spans="1:36" ht="32.25" customHeight="1" thickBot="1" x14ac:dyDescent="0.4">
      <c r="A52" s="216"/>
      <c r="C52" s="116"/>
      <c r="D52" s="393"/>
      <c r="Q52" s="337"/>
      <c r="R52" s="337"/>
      <c r="AH52" s="337"/>
      <c r="AI52" s="337"/>
    </row>
    <row r="53" spans="1:36" ht="21.75" thickBot="1" x14ac:dyDescent="0.4">
      <c r="C53" s="116"/>
      <c r="D53" s="395">
        <v>12.75</v>
      </c>
      <c r="E53" s="386">
        <v>1</v>
      </c>
      <c r="F53" s="278">
        <v>1</v>
      </c>
      <c r="G53" s="278">
        <v>1.25</v>
      </c>
      <c r="H53" s="278">
        <v>7.5</v>
      </c>
      <c r="I53" s="278">
        <v>2.5</v>
      </c>
      <c r="J53" s="278">
        <v>1</v>
      </c>
      <c r="K53" s="278">
        <v>60</v>
      </c>
      <c r="L53" s="279">
        <v>20</v>
      </c>
      <c r="M53" s="278">
        <v>3</v>
      </c>
      <c r="N53" s="278">
        <v>20</v>
      </c>
      <c r="O53" s="278">
        <v>0.5</v>
      </c>
      <c r="P53" s="278">
        <v>0.5</v>
      </c>
      <c r="Q53" s="334">
        <f>($D53+$E53+($F53*2))/10</f>
        <v>1.575</v>
      </c>
      <c r="R53" s="335">
        <f>($G53+$H53+($I53*2)+($J53*2))/10</f>
        <v>1.575</v>
      </c>
      <c r="S53" s="216"/>
      <c r="T53" s="239">
        <v>12.75</v>
      </c>
      <c r="U53" s="213">
        <v>1</v>
      </c>
      <c r="V53" s="213">
        <v>1</v>
      </c>
      <c r="W53" s="213">
        <v>1.25</v>
      </c>
      <c r="X53" s="213">
        <v>7.5</v>
      </c>
      <c r="Y53" s="213">
        <v>2.5</v>
      </c>
      <c r="Z53" s="213">
        <v>1</v>
      </c>
      <c r="AA53" s="213">
        <v>60</v>
      </c>
      <c r="AB53" s="214">
        <v>20</v>
      </c>
      <c r="AC53" s="213">
        <v>3</v>
      </c>
      <c r="AD53" s="213">
        <v>20</v>
      </c>
      <c r="AE53" s="213">
        <v>0.5</v>
      </c>
      <c r="AF53" s="248">
        <v>0.5</v>
      </c>
      <c r="AG53" s="216"/>
      <c r="AH53" s="334">
        <f>(T47+U47+(V47*2))/10</f>
        <v>0.92500000000000004</v>
      </c>
      <c r="AI53" s="340">
        <f>(W47+X47+(Y47*2)+(Z47*2))/10</f>
        <v>0.92500000000000004</v>
      </c>
    </row>
    <row r="54" spans="1:36" ht="21.75" thickBot="1" x14ac:dyDescent="0.4">
      <c r="C54" s="116"/>
      <c r="D54" s="397">
        <v>12.75</v>
      </c>
      <c r="E54" s="389">
        <v>1</v>
      </c>
      <c r="F54" s="281">
        <v>1</v>
      </c>
      <c r="G54" s="281">
        <v>1.25</v>
      </c>
      <c r="H54" s="281">
        <v>7.5</v>
      </c>
      <c r="I54" s="281">
        <v>2.5</v>
      </c>
      <c r="J54" s="281">
        <v>1</v>
      </c>
      <c r="K54" s="281">
        <v>60</v>
      </c>
      <c r="L54" s="283">
        <v>20</v>
      </c>
      <c r="M54" s="281">
        <v>3</v>
      </c>
      <c r="N54" s="281">
        <v>20</v>
      </c>
      <c r="O54" s="281">
        <v>0.5</v>
      </c>
      <c r="P54" s="281">
        <v>0.5</v>
      </c>
      <c r="Q54" s="336">
        <f t="shared" ref="Q54:Q56" si="42">($D54+$E54+($F54*2))/10</f>
        <v>1.575</v>
      </c>
      <c r="R54" s="335">
        <f t="shared" ref="R54:R56" si="43">($G54+$H54+($I54*2)+($J54*2))/10</f>
        <v>1.575</v>
      </c>
      <c r="T54" s="242">
        <v>12.75</v>
      </c>
      <c r="U54" s="215">
        <v>1</v>
      </c>
      <c r="V54" s="215">
        <v>1</v>
      </c>
      <c r="W54" s="215">
        <v>1.25</v>
      </c>
      <c r="X54" s="227">
        <v>7.5</v>
      </c>
      <c r="Y54" s="227">
        <v>2.5</v>
      </c>
      <c r="Z54" s="227">
        <v>1</v>
      </c>
      <c r="AA54" s="215">
        <v>60</v>
      </c>
      <c r="AB54" s="217">
        <v>20</v>
      </c>
      <c r="AC54" s="215">
        <v>3</v>
      </c>
      <c r="AD54" s="215">
        <v>20</v>
      </c>
      <c r="AE54" s="215">
        <v>0.5</v>
      </c>
      <c r="AF54" s="240">
        <v>0.5</v>
      </c>
      <c r="AH54" s="334">
        <f>(T48+U48+(V48*2))/10</f>
        <v>0.92500000000000004</v>
      </c>
      <c r="AI54" s="340">
        <f>(W48+X48+(Y48*2)+(Z48*2))/10</f>
        <v>0.92500000000000004</v>
      </c>
    </row>
    <row r="55" spans="1:36" ht="21.75" thickBot="1" x14ac:dyDescent="0.4">
      <c r="C55" s="116"/>
      <c r="D55" s="397">
        <v>12.75</v>
      </c>
      <c r="E55" s="389">
        <v>1</v>
      </c>
      <c r="F55" s="281">
        <v>1</v>
      </c>
      <c r="G55" s="281">
        <v>1.25</v>
      </c>
      <c r="H55" s="281">
        <v>7.5</v>
      </c>
      <c r="I55" s="281">
        <v>2.5</v>
      </c>
      <c r="J55" s="281">
        <v>1</v>
      </c>
      <c r="K55" s="281">
        <v>60</v>
      </c>
      <c r="L55" s="283">
        <v>20</v>
      </c>
      <c r="M55" s="281">
        <v>3</v>
      </c>
      <c r="N55" s="281">
        <v>20</v>
      </c>
      <c r="O55" s="281">
        <v>0.5</v>
      </c>
      <c r="P55" s="281">
        <v>0.5</v>
      </c>
      <c r="Q55" s="336">
        <f t="shared" si="42"/>
        <v>1.575</v>
      </c>
      <c r="R55" s="335">
        <f t="shared" si="43"/>
        <v>1.575</v>
      </c>
      <c r="T55" s="242">
        <v>12.75</v>
      </c>
      <c r="U55" s="215">
        <v>1</v>
      </c>
      <c r="V55" s="215">
        <v>1</v>
      </c>
      <c r="W55" s="215">
        <v>1.25</v>
      </c>
      <c r="X55" s="227">
        <v>7.5</v>
      </c>
      <c r="Y55" s="227">
        <v>2.5</v>
      </c>
      <c r="Z55" s="227">
        <v>1</v>
      </c>
      <c r="AA55" s="215">
        <v>60</v>
      </c>
      <c r="AB55" s="217">
        <v>20</v>
      </c>
      <c r="AC55" s="215">
        <v>3</v>
      </c>
      <c r="AD55" s="215">
        <v>20</v>
      </c>
      <c r="AE55" s="215">
        <v>0.5</v>
      </c>
      <c r="AF55" s="240">
        <v>0.5</v>
      </c>
      <c r="AH55" s="334">
        <f>(T49+U49+(V49*2))/10</f>
        <v>0.92500000000000004</v>
      </c>
      <c r="AI55" s="340">
        <f>(W49+X49+(Y49*2)+(Z49*2))/10</f>
        <v>0.92500000000000004</v>
      </c>
    </row>
    <row r="56" spans="1:36" ht="21.75" thickBot="1" x14ac:dyDescent="0.4">
      <c r="C56" s="116"/>
      <c r="D56" s="398">
        <v>12.75</v>
      </c>
      <c r="E56" s="390">
        <v>1</v>
      </c>
      <c r="F56" s="284">
        <v>1</v>
      </c>
      <c r="G56" s="284">
        <v>1.25</v>
      </c>
      <c r="H56" s="284">
        <v>7.5</v>
      </c>
      <c r="I56" s="284">
        <v>2.5</v>
      </c>
      <c r="J56" s="284">
        <v>1</v>
      </c>
      <c r="K56" s="281">
        <v>60</v>
      </c>
      <c r="L56" s="283">
        <v>20</v>
      </c>
      <c r="M56" s="281">
        <v>3</v>
      </c>
      <c r="N56" s="281">
        <v>20</v>
      </c>
      <c r="O56" s="281">
        <v>0.5</v>
      </c>
      <c r="P56" s="281">
        <v>0.5</v>
      </c>
      <c r="Q56" s="336">
        <f t="shared" si="42"/>
        <v>1.575</v>
      </c>
      <c r="R56" s="335">
        <f t="shared" si="43"/>
        <v>1.575</v>
      </c>
      <c r="T56" s="243">
        <v>12.75</v>
      </c>
      <c r="U56" s="244">
        <v>1</v>
      </c>
      <c r="V56" s="244">
        <v>1</v>
      </c>
      <c r="W56" s="244">
        <v>1.25</v>
      </c>
      <c r="X56" s="245">
        <v>7.5</v>
      </c>
      <c r="Y56" s="245">
        <v>2.5</v>
      </c>
      <c r="Z56" s="245">
        <v>1</v>
      </c>
      <c r="AA56" s="244">
        <v>60</v>
      </c>
      <c r="AB56" s="246">
        <v>20</v>
      </c>
      <c r="AC56" s="244">
        <v>3</v>
      </c>
      <c r="AD56" s="244">
        <v>20</v>
      </c>
      <c r="AE56" s="244">
        <v>0.5</v>
      </c>
      <c r="AF56" s="247">
        <v>0.5</v>
      </c>
      <c r="AH56" s="334">
        <f>(T50+U50+(V50*2))/10</f>
        <v>0.92500000000000004</v>
      </c>
      <c r="AI56" s="335">
        <f>(W50+X50+(Y50*2)+(Z50*2))/10</f>
        <v>0.92500000000000004</v>
      </c>
    </row>
    <row r="57" spans="1:36" x14ac:dyDescent="0.25">
      <c r="C57" s="116"/>
    </row>
    <row r="58" spans="1:36" ht="18" customHeight="1" x14ac:dyDescent="0.25"/>
    <row r="60" spans="1:36" ht="20.25" customHeight="1" x14ac:dyDescent="0.3">
      <c r="C60" s="252"/>
      <c r="D60" s="255"/>
      <c r="E60" s="255"/>
      <c r="F60" s="255"/>
      <c r="G60" s="255"/>
      <c r="H60" s="255"/>
      <c r="I60" s="255"/>
      <c r="J60" s="255"/>
    </row>
    <row r="61" spans="1:36" ht="21" thickBot="1" x14ac:dyDescent="0.35">
      <c r="C61" s="252"/>
      <c r="D61" s="88"/>
      <c r="E61" s="88"/>
      <c r="F61" s="88"/>
      <c r="G61" s="88"/>
      <c r="H61" s="88"/>
      <c r="I61" s="88"/>
      <c r="J61" s="88"/>
    </row>
    <row r="62" spans="1:36" ht="81" x14ac:dyDescent="0.35">
      <c r="C62" s="399"/>
      <c r="D62" s="256" t="s">
        <v>13</v>
      </c>
      <c r="E62" s="256" t="s">
        <v>14</v>
      </c>
      <c r="F62" s="256" t="s">
        <v>15</v>
      </c>
      <c r="G62" s="256" t="s">
        <v>16</v>
      </c>
      <c r="H62" s="256" t="s">
        <v>17</v>
      </c>
      <c r="I62" s="256" t="s">
        <v>18</v>
      </c>
      <c r="J62" s="257" t="s">
        <v>49</v>
      </c>
      <c r="U62" s="256"/>
      <c r="V62" s="256"/>
      <c r="W62" s="256"/>
      <c r="X62" s="256"/>
      <c r="Y62" s="256"/>
      <c r="Z62" s="256"/>
      <c r="AA62" s="256"/>
      <c r="AF62" s="167">
        <v>1</v>
      </c>
      <c r="AG62" s="343" t="s">
        <v>42</v>
      </c>
      <c r="AH62" s="357">
        <v>0</v>
      </c>
      <c r="AI62" s="373" t="s">
        <v>74</v>
      </c>
      <c r="AJ62" s="358"/>
    </row>
    <row r="63" spans="1:36" ht="81.75" thickBot="1" x14ac:dyDescent="0.4">
      <c r="C63" s="399"/>
      <c r="D63" s="258"/>
      <c r="E63" s="258"/>
      <c r="F63" s="258"/>
      <c r="G63" s="258"/>
      <c r="H63" s="258"/>
      <c r="I63" s="258"/>
      <c r="J63" s="259"/>
      <c r="U63" s="258"/>
      <c r="V63" s="258"/>
      <c r="W63" s="258"/>
      <c r="X63" s="258"/>
      <c r="Y63" s="258"/>
      <c r="Z63" s="258"/>
      <c r="AA63" s="258"/>
      <c r="AF63" s="168">
        <v>2</v>
      </c>
      <c r="AG63" s="344" t="s">
        <v>12</v>
      </c>
      <c r="AH63" s="359">
        <v>1</v>
      </c>
      <c r="AI63" s="235" t="s">
        <v>72</v>
      </c>
      <c r="AJ63" s="233"/>
    </row>
    <row r="64" spans="1:36" ht="30" customHeight="1" thickBot="1" x14ac:dyDescent="0.4">
      <c r="C64" s="400"/>
      <c r="D64" s="260">
        <f t="shared" ref="D64:I64" si="44">K5</f>
        <v>25</v>
      </c>
      <c r="E64" s="253">
        <f t="shared" si="44"/>
        <v>10</v>
      </c>
      <c r="F64" s="253">
        <f t="shared" si="44"/>
        <v>5</v>
      </c>
      <c r="G64" s="253">
        <f t="shared" si="44"/>
        <v>25</v>
      </c>
      <c r="H64" s="253">
        <f t="shared" si="44"/>
        <v>0.75</v>
      </c>
      <c r="I64" s="253">
        <f t="shared" si="44"/>
        <v>0.5</v>
      </c>
      <c r="J64" s="254"/>
      <c r="U64" s="260">
        <f t="shared" ref="U64:Z64" si="45">AA5</f>
        <v>25</v>
      </c>
      <c r="V64" s="260">
        <f t="shared" si="45"/>
        <v>20</v>
      </c>
      <c r="W64" s="260">
        <f t="shared" si="45"/>
        <v>5</v>
      </c>
      <c r="X64" s="260">
        <f t="shared" si="45"/>
        <v>25</v>
      </c>
      <c r="Y64" s="260">
        <f t="shared" si="45"/>
        <v>0.75</v>
      </c>
      <c r="Z64" s="260">
        <f t="shared" si="45"/>
        <v>0.5</v>
      </c>
      <c r="AA64" s="260"/>
      <c r="AF64" s="168">
        <v>3</v>
      </c>
      <c r="AG64" s="344" t="s">
        <v>43</v>
      </c>
      <c r="AH64" s="359">
        <v>2</v>
      </c>
      <c r="AI64" s="235" t="s">
        <v>75</v>
      </c>
      <c r="AJ64" s="233"/>
    </row>
    <row r="65" spans="3:36" ht="27.75" customHeight="1" thickBot="1" x14ac:dyDescent="0.4">
      <c r="C65" s="400"/>
      <c r="D65" s="260">
        <f t="shared" ref="D65:I65" si="46">K11</f>
        <v>25</v>
      </c>
      <c r="E65" s="253">
        <f t="shared" si="46"/>
        <v>10</v>
      </c>
      <c r="F65" s="253">
        <f t="shared" si="46"/>
        <v>5</v>
      </c>
      <c r="G65" s="253">
        <f t="shared" si="46"/>
        <v>25</v>
      </c>
      <c r="H65" s="253">
        <f t="shared" si="46"/>
        <v>0.75</v>
      </c>
      <c r="I65" s="253">
        <f t="shared" si="46"/>
        <v>0.5</v>
      </c>
      <c r="J65" s="254"/>
      <c r="U65" s="260">
        <f>AA11</f>
        <v>25</v>
      </c>
      <c r="V65" s="260">
        <f>AB11</f>
        <v>20</v>
      </c>
      <c r="W65" s="260">
        <f>AC6</f>
        <v>5</v>
      </c>
      <c r="X65" s="260">
        <f>AD11</f>
        <v>20</v>
      </c>
      <c r="Y65" s="260">
        <f>AE11</f>
        <v>0.75</v>
      </c>
      <c r="Z65" s="260">
        <f>AF11</f>
        <v>0.5</v>
      </c>
      <c r="AA65" s="260"/>
      <c r="AF65" s="168">
        <v>4</v>
      </c>
      <c r="AG65" s="344" t="s">
        <v>44</v>
      </c>
      <c r="AH65" s="360">
        <v>3</v>
      </c>
      <c r="AI65" s="374" t="s">
        <v>73</v>
      </c>
      <c r="AJ65" s="212"/>
    </row>
    <row r="66" spans="3:36" ht="27" customHeight="1" thickBot="1" x14ac:dyDescent="0.3">
      <c r="C66" s="401"/>
      <c r="D66" s="260">
        <f t="shared" ref="D66:I66" si="47">K17</f>
        <v>25</v>
      </c>
      <c r="E66" s="253">
        <f t="shared" si="47"/>
        <v>10</v>
      </c>
      <c r="F66" s="253">
        <f t="shared" si="47"/>
        <v>5</v>
      </c>
      <c r="G66" s="253">
        <f t="shared" si="47"/>
        <v>35</v>
      </c>
      <c r="H66" s="253">
        <f t="shared" si="47"/>
        <v>0.75</v>
      </c>
      <c r="I66" s="253">
        <f t="shared" si="47"/>
        <v>0.5</v>
      </c>
      <c r="J66" s="254"/>
      <c r="U66" s="260">
        <f>AA17</f>
        <v>25</v>
      </c>
      <c r="V66" s="260">
        <f>AB17</f>
        <v>20</v>
      </c>
      <c r="W66" s="260">
        <f>AC7</f>
        <v>5</v>
      </c>
      <c r="X66" s="260">
        <f>AD17</f>
        <v>25</v>
      </c>
      <c r="Y66" s="260">
        <f>AE17</f>
        <v>0.75</v>
      </c>
      <c r="Z66" s="260">
        <f>AF17</f>
        <v>0.5</v>
      </c>
      <c r="AA66" s="260"/>
      <c r="AF66" s="168">
        <v>5</v>
      </c>
      <c r="AG66" s="344" t="s">
        <v>45</v>
      </c>
    </row>
    <row r="67" spans="3:36" ht="30.75" customHeight="1" thickBot="1" x14ac:dyDescent="0.35">
      <c r="C67" s="401"/>
      <c r="D67" s="260">
        <f t="shared" ref="D67:I67" si="48">K23</f>
        <v>25</v>
      </c>
      <c r="E67" s="253">
        <f t="shared" si="48"/>
        <v>10</v>
      </c>
      <c r="F67" s="253">
        <f t="shared" si="48"/>
        <v>5</v>
      </c>
      <c r="G67" s="253">
        <f t="shared" si="48"/>
        <v>35</v>
      </c>
      <c r="H67" s="253">
        <f t="shared" si="48"/>
        <v>0.75</v>
      </c>
      <c r="I67" s="253">
        <f t="shared" si="48"/>
        <v>0.5</v>
      </c>
      <c r="J67" s="254"/>
      <c r="U67" s="260">
        <f t="shared" ref="U67:Z67" si="49">AA23</f>
        <v>25</v>
      </c>
      <c r="V67" s="260">
        <f t="shared" si="49"/>
        <v>20</v>
      </c>
      <c r="W67" s="260">
        <f t="shared" si="49"/>
        <v>4</v>
      </c>
      <c r="X67" s="260">
        <f t="shared" si="49"/>
        <v>25</v>
      </c>
      <c r="Y67" s="260">
        <f t="shared" si="49"/>
        <v>0.75</v>
      </c>
      <c r="Z67" s="260">
        <f t="shared" si="49"/>
        <v>0.5</v>
      </c>
      <c r="AA67" s="260"/>
      <c r="AF67" s="168">
        <v>6</v>
      </c>
      <c r="AG67" s="345" t="s">
        <v>76</v>
      </c>
      <c r="AH67" s="361">
        <v>1</v>
      </c>
      <c r="AI67" s="375" t="s">
        <v>80</v>
      </c>
      <c r="AJ67" s="376"/>
    </row>
    <row r="68" spans="3:36" ht="32.25" customHeight="1" thickBot="1" x14ac:dyDescent="0.3">
      <c r="C68" s="401"/>
      <c r="D68" s="260">
        <f t="shared" ref="D68:I68" si="50">K29</f>
        <v>40</v>
      </c>
      <c r="E68" s="253">
        <f t="shared" si="50"/>
        <v>10</v>
      </c>
      <c r="F68" s="253">
        <f t="shared" si="50"/>
        <v>4</v>
      </c>
      <c r="G68" s="253">
        <f t="shared" si="50"/>
        <v>30</v>
      </c>
      <c r="H68" s="253">
        <f t="shared" si="50"/>
        <v>0.75</v>
      </c>
      <c r="I68" s="253">
        <f t="shared" si="50"/>
        <v>0.5</v>
      </c>
      <c r="J68" s="254"/>
      <c r="U68" s="260">
        <f t="shared" ref="U68:Z68" si="51">AA29</f>
        <v>40</v>
      </c>
      <c r="V68" s="260">
        <f t="shared" si="51"/>
        <v>10</v>
      </c>
      <c r="W68" s="260">
        <f t="shared" si="51"/>
        <v>4</v>
      </c>
      <c r="X68" s="260">
        <f t="shared" si="51"/>
        <v>30</v>
      </c>
      <c r="Y68" s="260">
        <f t="shared" si="51"/>
        <v>0.75</v>
      </c>
      <c r="Z68" s="260">
        <f t="shared" si="51"/>
        <v>0.5</v>
      </c>
      <c r="AA68" s="260"/>
      <c r="AF68" s="168">
        <v>7</v>
      </c>
      <c r="AG68" s="344" t="s">
        <v>46</v>
      </c>
      <c r="AH68" s="362">
        <v>2</v>
      </c>
      <c r="AI68" s="377" t="s">
        <v>59</v>
      </c>
      <c r="AJ68" s="376"/>
    </row>
    <row r="69" spans="3:36" ht="81.75" thickBot="1" x14ac:dyDescent="0.3">
      <c r="C69" s="401"/>
      <c r="D69" s="260">
        <f t="shared" ref="D69:I69" si="52">K35</f>
        <v>45</v>
      </c>
      <c r="E69" s="253">
        <f t="shared" si="52"/>
        <v>6</v>
      </c>
      <c r="F69" s="253">
        <f t="shared" si="52"/>
        <v>3</v>
      </c>
      <c r="G69" s="253">
        <f t="shared" si="52"/>
        <v>40</v>
      </c>
      <c r="H69" s="253">
        <f t="shared" si="52"/>
        <v>1</v>
      </c>
      <c r="I69" s="253">
        <f t="shared" si="52"/>
        <v>0.5</v>
      </c>
      <c r="J69" s="254"/>
      <c r="U69" s="260">
        <f t="shared" ref="U69:Z69" si="53">AA35</f>
        <v>45</v>
      </c>
      <c r="V69" s="260">
        <f t="shared" si="53"/>
        <v>6</v>
      </c>
      <c r="W69" s="260">
        <f t="shared" si="53"/>
        <v>3</v>
      </c>
      <c r="X69" s="260">
        <f t="shared" si="53"/>
        <v>40</v>
      </c>
      <c r="Y69" s="260">
        <f t="shared" si="53"/>
        <v>1</v>
      </c>
      <c r="Z69" s="260">
        <f t="shared" si="53"/>
        <v>0.5</v>
      </c>
      <c r="AA69" s="260"/>
      <c r="AF69" s="168">
        <v>8</v>
      </c>
      <c r="AG69" s="344" t="s">
        <v>47</v>
      </c>
    </row>
    <row r="70" spans="3:36" ht="122.25" thickBot="1" x14ac:dyDescent="0.3">
      <c r="C70" s="400"/>
      <c r="D70" s="260">
        <f t="shared" ref="D70:I70" si="54">K41</f>
        <v>55</v>
      </c>
      <c r="E70" s="253">
        <f t="shared" si="54"/>
        <v>15</v>
      </c>
      <c r="F70" s="253">
        <f t="shared" si="54"/>
        <v>3.5</v>
      </c>
      <c r="G70" s="253">
        <f t="shared" si="54"/>
        <v>20</v>
      </c>
      <c r="H70" s="253">
        <f t="shared" si="54"/>
        <v>0.75</v>
      </c>
      <c r="I70" s="253">
        <f t="shared" si="54"/>
        <v>0.5</v>
      </c>
      <c r="J70" s="254"/>
      <c r="U70" s="260">
        <f t="shared" ref="U70:Z70" si="55">AA41</f>
        <v>55</v>
      </c>
      <c r="V70" s="260">
        <f t="shared" si="55"/>
        <v>15</v>
      </c>
      <c r="W70" s="260">
        <f t="shared" si="55"/>
        <v>3.5</v>
      </c>
      <c r="X70" s="260">
        <f t="shared" si="55"/>
        <v>15</v>
      </c>
      <c r="Y70" s="260">
        <f t="shared" si="55"/>
        <v>0.5</v>
      </c>
      <c r="Z70" s="260">
        <f t="shared" si="55"/>
        <v>0.5</v>
      </c>
      <c r="AA70" s="260"/>
      <c r="AF70" s="169">
        <v>9</v>
      </c>
      <c r="AG70" s="346" t="s">
        <v>48</v>
      </c>
    </row>
    <row r="71" spans="3:36" ht="21" thickBot="1" x14ac:dyDescent="0.3">
      <c r="C71" s="401"/>
      <c r="D71" s="260">
        <f t="shared" ref="D71:I71" si="56">K47</f>
        <v>55</v>
      </c>
      <c r="E71" s="253">
        <f t="shared" si="56"/>
        <v>15</v>
      </c>
      <c r="F71" s="253">
        <f t="shared" si="56"/>
        <v>4</v>
      </c>
      <c r="G71" s="253">
        <f t="shared" si="56"/>
        <v>30</v>
      </c>
      <c r="H71" s="253">
        <f t="shared" si="56"/>
        <v>0.75</v>
      </c>
      <c r="I71" s="253">
        <f t="shared" si="56"/>
        <v>0.5</v>
      </c>
      <c r="J71" s="254"/>
      <c r="U71" s="260">
        <f t="shared" ref="U71:Z71" si="57">AA47</f>
        <v>55</v>
      </c>
      <c r="V71" s="260">
        <f t="shared" si="57"/>
        <v>15</v>
      </c>
      <c r="W71" s="260">
        <f t="shared" si="57"/>
        <v>3</v>
      </c>
      <c r="X71" s="260">
        <f t="shared" si="57"/>
        <v>20</v>
      </c>
      <c r="Y71" s="260">
        <f t="shared" si="57"/>
        <v>0.5</v>
      </c>
      <c r="Z71" s="260">
        <f t="shared" si="57"/>
        <v>0.5</v>
      </c>
      <c r="AA71" s="260"/>
    </row>
    <row r="72" spans="3:36" ht="21" thickBot="1" x14ac:dyDescent="0.3">
      <c r="C72" s="401"/>
      <c r="D72" s="260">
        <f t="shared" ref="D72:I72" si="58">K53</f>
        <v>60</v>
      </c>
      <c r="E72" s="253">
        <f t="shared" si="58"/>
        <v>20</v>
      </c>
      <c r="F72" s="253">
        <f t="shared" si="58"/>
        <v>3</v>
      </c>
      <c r="G72" s="253">
        <f t="shared" si="58"/>
        <v>20</v>
      </c>
      <c r="H72" s="253">
        <f t="shared" si="58"/>
        <v>0.5</v>
      </c>
      <c r="I72" s="253">
        <f t="shared" si="58"/>
        <v>0.5</v>
      </c>
      <c r="J72" s="254"/>
      <c r="U72" s="260">
        <f t="shared" ref="U72:Z72" si="59">AA53</f>
        <v>60</v>
      </c>
      <c r="V72" s="260">
        <f t="shared" si="59"/>
        <v>20</v>
      </c>
      <c r="W72" s="260">
        <f t="shared" si="59"/>
        <v>3</v>
      </c>
      <c r="X72" s="260">
        <f t="shared" si="59"/>
        <v>20</v>
      </c>
      <c r="Y72" s="260">
        <f t="shared" si="59"/>
        <v>0.5</v>
      </c>
      <c r="Z72" s="260">
        <f t="shared" si="59"/>
        <v>0.5</v>
      </c>
      <c r="AA72" s="260"/>
      <c r="AG72" s="402" t="s">
        <v>82</v>
      </c>
    </row>
    <row r="73" spans="3:36" ht="20.25" x14ac:dyDescent="0.25">
      <c r="AG73" s="402" t="s">
        <v>83</v>
      </c>
    </row>
    <row r="74" spans="3:36" ht="18.75" x14ac:dyDescent="0.3">
      <c r="D74" s="405" t="s">
        <v>87</v>
      </c>
    </row>
    <row r="75" spans="3:36" ht="20.25" x14ac:dyDescent="0.3">
      <c r="D75" s="405" t="s">
        <v>88</v>
      </c>
      <c r="AG75" s="378" t="s">
        <v>81</v>
      </c>
    </row>
    <row r="76" spans="3:36" ht="18.75" x14ac:dyDescent="0.3">
      <c r="D76" s="405" t="s">
        <v>86</v>
      </c>
    </row>
    <row r="77" spans="3:36" ht="18.75" x14ac:dyDescent="0.3">
      <c r="D77" s="407" t="s">
        <v>89</v>
      </c>
    </row>
    <row r="79" spans="3:36" ht="20.25" x14ac:dyDescent="0.3">
      <c r="D79" s="406" t="s">
        <v>90</v>
      </c>
    </row>
    <row r="80" spans="3:36" ht="18.75" x14ac:dyDescent="0.3">
      <c r="D80" s="405" t="s">
        <v>81</v>
      </c>
    </row>
    <row r="81" spans="4:4" ht="18.75" x14ac:dyDescent="0.3">
      <c r="D81" s="405" t="s">
        <v>92</v>
      </c>
    </row>
  </sheetData>
  <sheetProtection algorithmName="SHA-512" hashValue="u4E+xCJDqdJ3TDu4zHQIiUxDYayrv5OaPApnF0zvxeQzFmJ073XJ7d7inanB8ILSvbmZbyPe8YrzwsDFWdAV5Q==" saltValue="p3FjytyGiNRbz09BuZO3Gw==" spinCount="100000" sheet="1" objects="1" scenarios="1"/>
  <dataValidations count="2">
    <dataValidation type="list" allowBlank="1" showInputMessage="1" showErrorMessage="1" sqref="AG62:AG70" xr:uid="{00000000-0002-0000-0200-000000000000}">
      <formula1>ΚαλλιέργειαHDR</formula1>
    </dataValidation>
    <dataValidation type="textLength" allowBlank="1" showInputMessage="1" showErrorMessage="1" sqref="AF62:AF70" xr:uid="{00000000-0002-0000-0200-000001000000}">
      <formula1>1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Δεδομένα</vt:lpstr>
      <vt:lpstr>..</vt:lpstr>
      <vt:lpstr>...</vt:lpstr>
      <vt:lpstr>Γ._Ν._Μαυρογιαννόπουλος</vt:lpstr>
      <vt:lpstr>Καλλιέργεια</vt:lpstr>
      <vt:lpstr>ΚαλλιέργειαHDR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2020-07-09T15:44:02Z</dcterms:created>
  <dcterms:modified xsi:type="dcterms:W3CDTF">2021-03-25T07:39:16Z</dcterms:modified>
</cp:coreProperties>
</file>